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แผ่นพื้น-คาน-เสา-ฐานรากวางบนดิน" sheetId="1" r:id="rId1"/>
    <sheet name="ฐานรากวางบนเสาเข็ม" sheetId="2" r:id="rId2"/>
  </sheets>
  <definedNames>
    <definedName name="Av">'แผ่นพื้น-คาน-เสา-ฐานรากวางบนดิน'!$B$143</definedName>
    <definedName name="b">'แผ่นพื้น-คาน-เสา-ฐานรากวางบนดิน'!$C$117</definedName>
    <definedName name="cov">'แผ่นพื้น-คาน-เสา-ฐานรากวางบนดิน'!$B$124</definedName>
    <definedName name="fcu">'แผ่นพื้น-คาน-เสา-ฐานรากวางบนดิน'!$B$13</definedName>
    <definedName name="fsy">'แผ่นพื้น-คาน-เสา-ฐานรากวางบนดิน'!$F$15</definedName>
    <definedName name="fy">'แผ่นพื้น-คาน-เสา-ฐานรากวางบนดิน'!$B$15</definedName>
    <definedName name="h">'แผ่นพื้น-คาน-เสา-ฐานรากวางบนดิน'!$C$118</definedName>
    <definedName name="m">#REF!</definedName>
    <definedName name="pM">'แผ่นพื้น-คาน-เสา-ฐานรากวางบนดิน'!$B$30</definedName>
    <definedName name="pMax">#REF!</definedName>
    <definedName name="pMin">'แผ่นพื้น-คาน-เสา-ฐานรากวางบนดิน'!$B$24</definedName>
    <definedName name="pV">'แผ่นพื้น-คาน-เสา-ฐานรากวางบนดิน'!$B$31</definedName>
    <definedName name="Rnt">'แผ่นพื้น-คาน-เสา-ฐานรากวางบนดิน'!$B$20</definedName>
  </definedNames>
  <calcPr calcId="144525"/>
</workbook>
</file>

<file path=xl/calcChain.xml><?xml version="1.0" encoding="utf-8"?>
<calcChain xmlns="http://schemas.openxmlformats.org/spreadsheetml/2006/main">
  <c r="B196" i="2" l="1"/>
  <c r="B191" i="2"/>
  <c r="B185" i="2"/>
  <c r="B180" i="2"/>
  <c r="B178" i="2"/>
  <c r="B176" i="2"/>
  <c r="I173" i="2"/>
  <c r="I172" i="2"/>
  <c r="B169" i="2"/>
  <c r="B170" i="2" s="1"/>
  <c r="B168" i="2"/>
  <c r="I165" i="2"/>
  <c r="I164" i="2"/>
  <c r="B155" i="2"/>
  <c r="B154" i="2"/>
  <c r="D155" i="2" s="1"/>
  <c r="B150" i="2"/>
  <c r="B146" i="2"/>
  <c r="B144" i="2"/>
  <c r="B139" i="2"/>
  <c r="B153" i="2" s="1"/>
  <c r="B156" i="2" s="1"/>
  <c r="B157" i="2" s="1"/>
  <c r="B158" i="2" s="1"/>
  <c r="B137" i="2"/>
  <c r="B135" i="2"/>
  <c r="I132" i="2"/>
  <c r="I131" i="2"/>
  <c r="B127" i="2"/>
  <c r="B128" i="2" s="1"/>
  <c r="B129" i="2" s="1"/>
  <c r="I123" i="2"/>
  <c r="I124" i="2" s="1"/>
  <c r="B114" i="2"/>
  <c r="B107" i="2"/>
  <c r="B105" i="2"/>
  <c r="I97" i="2"/>
  <c r="B96" i="2"/>
  <c r="I95" i="2"/>
  <c r="B94" i="2"/>
  <c r="B91" i="2"/>
  <c r="B111" i="2" s="1"/>
  <c r="B112" i="2" s="1"/>
  <c r="I89" i="2"/>
  <c r="I88" i="2"/>
  <c r="B88" i="2"/>
  <c r="B97" i="2" s="1"/>
  <c r="I86" i="2"/>
  <c r="I85" i="2"/>
  <c r="I84" i="2"/>
  <c r="I83" i="2"/>
  <c r="B80" i="2"/>
  <c r="B81" i="2" s="1"/>
  <c r="B82" i="2" s="1"/>
  <c r="I76" i="2"/>
  <c r="I77" i="2" s="1"/>
  <c r="B68" i="2"/>
  <c r="B69" i="2" s="1"/>
  <c r="B70" i="2" s="1"/>
  <c r="B67" i="2"/>
  <c r="I65" i="2"/>
  <c r="B65" i="2"/>
  <c r="B66" i="2" s="1"/>
  <c r="D67" i="2" s="1"/>
  <c r="B61" i="2"/>
  <c r="I60" i="2"/>
  <c r="B60" i="2"/>
  <c r="B59" i="2"/>
  <c r="B53" i="2"/>
  <c r="B48" i="2"/>
  <c r="B55" i="2" s="1"/>
  <c r="B46" i="2"/>
  <c r="B44" i="2"/>
  <c r="I41" i="2"/>
  <c r="I40" i="2"/>
  <c r="B36" i="2"/>
  <c r="B37" i="2" s="1"/>
  <c r="B38" i="2" s="1"/>
  <c r="I33" i="2"/>
  <c r="I32" i="2"/>
  <c r="B26" i="2"/>
  <c r="B25" i="2"/>
  <c r="B21" i="2"/>
  <c r="B22" i="2" s="1"/>
  <c r="E19" i="2"/>
  <c r="B19" i="2"/>
  <c r="D19" i="2" s="1"/>
  <c r="B18" i="2"/>
  <c r="B15" i="2"/>
  <c r="B14" i="2"/>
  <c r="B8" i="2"/>
  <c r="B9" i="2" s="1"/>
  <c r="B10" i="2" s="1"/>
  <c r="J4" i="2"/>
  <c r="J3" i="2"/>
  <c r="B307" i="1"/>
  <c r="B302" i="1"/>
  <c r="B291" i="1"/>
  <c r="B290" i="1"/>
  <c r="B280" i="1"/>
  <c r="B279" i="1"/>
  <c r="B277" i="1"/>
  <c r="B305" i="1" s="1"/>
  <c r="B272" i="1"/>
  <c r="B288" i="1" s="1"/>
  <c r="B270" i="1"/>
  <c r="F245" i="1"/>
  <c r="C238" i="1"/>
  <c r="B238" i="1"/>
  <c r="D235" i="1"/>
  <c r="C235" i="1"/>
  <c r="B235" i="1"/>
  <c r="D223" i="1"/>
  <c r="S213" i="1"/>
  <c r="N213" i="1"/>
  <c r="Q213" i="1" s="1"/>
  <c r="R213" i="1" s="1"/>
  <c r="S212" i="1"/>
  <c r="Q212" i="1"/>
  <c r="R212" i="1" s="1"/>
  <c r="N212" i="1"/>
  <c r="S211" i="1"/>
  <c r="N211" i="1"/>
  <c r="Q211" i="1" s="1"/>
  <c r="R211" i="1" s="1"/>
  <c r="S210" i="1"/>
  <c r="N210" i="1"/>
  <c r="Q210" i="1" s="1"/>
  <c r="R210" i="1" s="1"/>
  <c r="D208" i="1"/>
  <c r="D206" i="1"/>
  <c r="D191" i="1"/>
  <c r="D182" i="1"/>
  <c r="D181" i="1"/>
  <c r="J11" i="2" s="1"/>
  <c r="D176" i="1"/>
  <c r="D207" i="1" s="1"/>
  <c r="O175" i="1"/>
  <c r="D174" i="1"/>
  <c r="N170" i="1"/>
  <c r="M170" i="1"/>
  <c r="L170" i="1"/>
  <c r="K170" i="1"/>
  <c r="N169" i="1"/>
  <c r="M169" i="1"/>
  <c r="K169" i="1"/>
  <c r="L169" i="1" s="1"/>
  <c r="O169" i="1" s="1"/>
  <c r="N168" i="1"/>
  <c r="M168" i="1"/>
  <c r="L168" i="1"/>
  <c r="O168" i="1" s="1"/>
  <c r="K168" i="1"/>
  <c r="N167" i="1"/>
  <c r="M167" i="1"/>
  <c r="K167" i="1"/>
  <c r="L167" i="1" s="1"/>
  <c r="O167" i="1" s="1"/>
  <c r="D167" i="1"/>
  <c r="D168" i="1" s="1"/>
  <c r="D166" i="1"/>
  <c r="K164" i="1"/>
  <c r="N164" i="1" s="1"/>
  <c r="O164" i="1" s="1"/>
  <c r="K163" i="1"/>
  <c r="N163" i="1" s="1"/>
  <c r="O163" i="1" s="1"/>
  <c r="K162" i="1"/>
  <c r="N162" i="1" s="1"/>
  <c r="O162" i="1" s="1"/>
  <c r="K161" i="1"/>
  <c r="N161" i="1" s="1"/>
  <c r="O161" i="1" s="1"/>
  <c r="D161" i="1"/>
  <c r="B146" i="1"/>
  <c r="B144" i="1"/>
  <c r="B143" i="1"/>
  <c r="B152" i="1" s="1"/>
  <c r="E142" i="1"/>
  <c r="B129" i="1"/>
  <c r="B125" i="1"/>
  <c r="B124" i="1"/>
  <c r="B145" i="1" s="1"/>
  <c r="C116" i="1"/>
  <c r="J112" i="1"/>
  <c r="H109" i="1"/>
  <c r="J104" i="1"/>
  <c r="H101" i="1"/>
  <c r="J96" i="1"/>
  <c r="H93" i="1"/>
  <c r="J88" i="1"/>
  <c r="H85" i="1"/>
  <c r="J80" i="1"/>
  <c r="H77" i="1"/>
  <c r="J72" i="1"/>
  <c r="H69" i="1"/>
  <c r="J64" i="1"/>
  <c r="H61" i="1"/>
  <c r="D60" i="1"/>
  <c r="J56" i="1"/>
  <c r="H53" i="1"/>
  <c r="D52" i="1"/>
  <c r="J63" i="1" s="1"/>
  <c r="D51" i="1"/>
  <c r="D49" i="1"/>
  <c r="D50" i="1" s="1"/>
  <c r="J48" i="1"/>
  <c r="K46" i="1"/>
  <c r="I46" i="1"/>
  <c r="H45" i="1"/>
  <c r="D40" i="1"/>
  <c r="D38" i="1"/>
  <c r="F28" i="1"/>
  <c r="B28" i="1"/>
  <c r="F27" i="1"/>
  <c r="F24" i="1" s="1"/>
  <c r="B27" i="1"/>
  <c r="B24" i="1" s="1"/>
  <c r="B274" i="1" s="1"/>
  <c r="F25" i="1"/>
  <c r="B19" i="1"/>
  <c r="B23" i="1" s="1"/>
  <c r="B18" i="1"/>
  <c r="F235" i="1" l="1"/>
  <c r="C209" i="1"/>
  <c r="B292" i="1"/>
  <c r="B308" i="1"/>
  <c r="N20" i="1"/>
  <c r="F23" i="1"/>
  <c r="J55" i="1"/>
  <c r="F238" i="1"/>
  <c r="F241" i="1" s="1"/>
  <c r="B186" i="2"/>
  <c r="N41" i="1"/>
  <c r="D64" i="1"/>
  <c r="D65" i="1" s="1"/>
  <c r="D56" i="1"/>
  <c r="D54" i="1"/>
  <c r="B273" i="1"/>
  <c r="B20" i="1"/>
  <c r="D180" i="1" s="1"/>
  <c r="J10" i="2" s="1"/>
  <c r="I47" i="2" s="1"/>
  <c r="N55" i="1"/>
  <c r="R55" i="1" s="1"/>
  <c r="J6" i="2"/>
  <c r="B271" i="1"/>
  <c r="D160" i="1"/>
  <c r="D175" i="1"/>
  <c r="B22" i="1"/>
  <c r="J93" i="1"/>
  <c r="N93" i="1" s="1"/>
  <c r="R93" i="1" s="1"/>
  <c r="V93" i="1" s="1"/>
  <c r="Z93" i="1" s="1"/>
  <c r="AD93" i="1" s="1"/>
  <c r="AH93" i="1" s="1"/>
  <c r="J92" i="1"/>
  <c r="N92" i="1" s="1"/>
  <c r="R92" i="1" s="1"/>
  <c r="V92" i="1" s="1"/>
  <c r="Z92" i="1" s="1"/>
  <c r="AD92" i="1" s="1"/>
  <c r="AH92" i="1" s="1"/>
  <c r="J87" i="1"/>
  <c r="N87" i="1" s="1"/>
  <c r="R87" i="1" s="1"/>
  <c r="J68" i="1"/>
  <c r="N68" i="1" s="1"/>
  <c r="R68" i="1" s="1"/>
  <c r="V68" i="1" s="1"/>
  <c r="Z68" i="1" s="1"/>
  <c r="AD68" i="1" s="1"/>
  <c r="AH68" i="1" s="1"/>
  <c r="V52" i="1"/>
  <c r="Z52" i="1" s="1"/>
  <c r="AD52" i="1" s="1"/>
  <c r="F22" i="1"/>
  <c r="J76" i="1"/>
  <c r="N76" i="1" s="1"/>
  <c r="R76" i="1" s="1"/>
  <c r="V76" i="1" s="1"/>
  <c r="Z76" i="1" s="1"/>
  <c r="AD76" i="1" s="1"/>
  <c r="AH76" i="1" s="1"/>
  <c r="O206" i="1"/>
  <c r="D179" i="1"/>
  <c r="J9" i="2" s="1"/>
  <c r="J44" i="1"/>
  <c r="N44" i="1" s="1"/>
  <c r="R44" i="1" s="1"/>
  <c r="V44" i="1" s="1"/>
  <c r="Z44" i="1" s="1"/>
  <c r="AD44" i="1" s="1"/>
  <c r="AH44" i="1" s="1"/>
  <c r="J45" i="1"/>
  <c r="N45" i="1" s="1"/>
  <c r="R45" i="1" s="1"/>
  <c r="V45" i="1" s="1"/>
  <c r="Z45" i="1" s="1"/>
  <c r="AD45" i="1" s="1"/>
  <c r="AH45" i="1" s="1"/>
  <c r="V55" i="1"/>
  <c r="Z55" i="1" s="1"/>
  <c r="AD55" i="1" s="1"/>
  <c r="AH55" i="1" s="1"/>
  <c r="J60" i="1"/>
  <c r="N60" i="1" s="1"/>
  <c r="R60" i="1" s="1"/>
  <c r="V60" i="1" s="1"/>
  <c r="Z60" i="1" s="1"/>
  <c r="AD60" i="1" s="1"/>
  <c r="AH60" i="1" s="1"/>
  <c r="D66" i="1"/>
  <c r="D67" i="1" s="1"/>
  <c r="D68" i="1" s="1"/>
  <c r="D69" i="1" s="1"/>
  <c r="J79" i="1"/>
  <c r="N79" i="1" s="1"/>
  <c r="R79" i="1" s="1"/>
  <c r="J85" i="1"/>
  <c r="N85" i="1" s="1"/>
  <c r="R85" i="1" s="1"/>
  <c r="V85" i="1" s="1"/>
  <c r="Z85" i="1" s="1"/>
  <c r="AD85" i="1" s="1"/>
  <c r="AH85" i="1" s="1"/>
  <c r="J100" i="1"/>
  <c r="N100" i="1" s="1"/>
  <c r="R100" i="1" s="1"/>
  <c r="V100" i="1" s="1"/>
  <c r="Z100" i="1" s="1"/>
  <c r="AD100" i="1" s="1"/>
  <c r="AH100" i="1" s="1"/>
  <c r="J108" i="1"/>
  <c r="N108" i="1" s="1"/>
  <c r="R108" i="1" s="1"/>
  <c r="J111" i="1"/>
  <c r="N111" i="1" s="1"/>
  <c r="R111" i="1" s="1"/>
  <c r="E209" i="1"/>
  <c r="N63" i="1"/>
  <c r="R63" i="1" s="1"/>
  <c r="V63" i="1" s="1"/>
  <c r="Z63" i="1" s="1"/>
  <c r="AD63" i="1" s="1"/>
  <c r="AH63" i="1" s="1"/>
  <c r="J71" i="1"/>
  <c r="N71" i="1" s="1"/>
  <c r="R71" i="1" s="1"/>
  <c r="V71" i="1" s="1"/>
  <c r="Z71" i="1" s="1"/>
  <c r="AD71" i="1" s="1"/>
  <c r="AH71" i="1" s="1"/>
  <c r="J77" i="1"/>
  <c r="N77" i="1" s="1"/>
  <c r="R77" i="1" s="1"/>
  <c r="V77" i="1" s="1"/>
  <c r="Z77" i="1" s="1"/>
  <c r="AD77" i="1" s="1"/>
  <c r="AH77" i="1" s="1"/>
  <c r="V87" i="1"/>
  <c r="Z87" i="1" s="1"/>
  <c r="AD87" i="1" s="1"/>
  <c r="AH87" i="1" s="1"/>
  <c r="J95" i="1"/>
  <c r="N95" i="1" s="1"/>
  <c r="R95" i="1" s="1"/>
  <c r="V95" i="1" s="1"/>
  <c r="Z95" i="1" s="1"/>
  <c r="AD95" i="1" s="1"/>
  <c r="AH95" i="1" s="1"/>
  <c r="O177" i="1"/>
  <c r="O178" i="1" s="1"/>
  <c r="O185" i="1" s="1"/>
  <c r="O176" i="1"/>
  <c r="O181" i="1" s="1"/>
  <c r="AH52" i="1"/>
  <c r="J61" i="1"/>
  <c r="N61" i="1" s="1"/>
  <c r="R61" i="1" s="1"/>
  <c r="V61" i="1" s="1"/>
  <c r="Z61" i="1" s="1"/>
  <c r="AD61" i="1" s="1"/>
  <c r="AH61" i="1" s="1"/>
  <c r="J69" i="1"/>
  <c r="N69" i="1" s="1"/>
  <c r="R69" i="1" s="1"/>
  <c r="V69" i="1" s="1"/>
  <c r="Z69" i="1" s="1"/>
  <c r="AD69" i="1" s="1"/>
  <c r="AH69" i="1" s="1"/>
  <c r="V79" i="1"/>
  <c r="Z79" i="1" s="1"/>
  <c r="AD79" i="1" s="1"/>
  <c r="AH79" i="1" s="1"/>
  <c r="J84" i="1"/>
  <c r="N84" i="1" s="1"/>
  <c r="R84" i="1" s="1"/>
  <c r="V84" i="1" s="1"/>
  <c r="Z84" i="1" s="1"/>
  <c r="AD84" i="1" s="1"/>
  <c r="AH84" i="1" s="1"/>
  <c r="J103" i="1"/>
  <c r="N103" i="1" s="1"/>
  <c r="R103" i="1" s="1"/>
  <c r="V103" i="1" s="1"/>
  <c r="Z103" i="1" s="1"/>
  <c r="AD103" i="1" s="1"/>
  <c r="AH103" i="1" s="1"/>
  <c r="V108" i="1"/>
  <c r="Z108" i="1" s="1"/>
  <c r="AD108" i="1" s="1"/>
  <c r="AH108" i="1" s="1"/>
  <c r="J109" i="1"/>
  <c r="N109" i="1" s="1"/>
  <c r="R109" i="1" s="1"/>
  <c r="V109" i="1" s="1"/>
  <c r="Z109" i="1" s="1"/>
  <c r="AD109" i="1" s="1"/>
  <c r="AH109" i="1" s="1"/>
  <c r="V111" i="1"/>
  <c r="Z111" i="1" s="1"/>
  <c r="AD111" i="1" s="1"/>
  <c r="AH111" i="1" s="1"/>
  <c r="B147" i="1"/>
  <c r="J12" i="2"/>
  <c r="N128" i="1"/>
  <c r="H128" i="1" s="1"/>
  <c r="J47" i="1"/>
  <c r="N47" i="1" s="1"/>
  <c r="R47" i="1" s="1"/>
  <c r="V47" i="1" s="1"/>
  <c r="Z47" i="1" s="1"/>
  <c r="AD47" i="1" s="1"/>
  <c r="AH47" i="1" s="1"/>
  <c r="J52" i="1"/>
  <c r="N52" i="1" s="1"/>
  <c r="R52" i="1" s="1"/>
  <c r="J53" i="1"/>
  <c r="N53" i="1" s="1"/>
  <c r="R53" i="1" s="1"/>
  <c r="V53" i="1" s="1"/>
  <c r="Z53" i="1" s="1"/>
  <c r="AD53" i="1" s="1"/>
  <c r="AH53" i="1" s="1"/>
  <c r="J101" i="1"/>
  <c r="N101" i="1" s="1"/>
  <c r="R101" i="1" s="1"/>
  <c r="V101" i="1" s="1"/>
  <c r="Z101" i="1" s="1"/>
  <c r="AD101" i="1" s="1"/>
  <c r="AH101" i="1" s="1"/>
  <c r="D178" i="1"/>
  <c r="J8" i="2" s="1"/>
  <c r="D185" i="1"/>
  <c r="D183" i="1"/>
  <c r="D192" i="1"/>
  <c r="D199" i="1" s="1"/>
  <c r="D194" i="1"/>
  <c r="D195" i="1" s="1"/>
  <c r="D212" i="1" s="1"/>
  <c r="O198" i="1"/>
  <c r="F240" i="1"/>
  <c r="F244" i="1"/>
  <c r="F246" i="1" s="1"/>
  <c r="F242" i="1"/>
  <c r="B115" i="2"/>
  <c r="B116" i="2" s="1"/>
  <c r="B117" i="2" s="1"/>
  <c r="B113" i="2"/>
  <c r="D114" i="2" s="1"/>
  <c r="B126" i="1"/>
  <c r="O170" i="1"/>
  <c r="I138" i="2"/>
  <c r="B311" i="1"/>
  <c r="B293" i="1"/>
  <c r="I48" i="2"/>
  <c r="I42" i="2"/>
  <c r="I43" i="2" s="1"/>
  <c r="I34" i="2"/>
  <c r="I35" i="2" s="1"/>
  <c r="I139" i="2"/>
  <c r="I133" i="2"/>
  <c r="I134" i="2" s="1"/>
  <c r="I125" i="2"/>
  <c r="I126" i="2" s="1"/>
  <c r="F25" i="2"/>
  <c r="E25" i="2"/>
  <c r="D25" i="2"/>
  <c r="B98" i="2"/>
  <c r="B99" i="2" s="1"/>
  <c r="I96" i="2"/>
  <c r="I98" i="2" s="1"/>
  <c r="B106" i="2"/>
  <c r="D108" i="2" s="1"/>
  <c r="B194" i="2"/>
  <c r="B187" i="2"/>
  <c r="I192" i="2"/>
  <c r="G19" i="2"/>
  <c r="B145" i="2"/>
  <c r="D147" i="2" s="1"/>
  <c r="I151" i="2"/>
  <c r="B54" i="2"/>
  <c r="D56" i="2" s="1"/>
  <c r="I179" i="2" l="1"/>
  <c r="B188" i="2"/>
  <c r="B147" i="2"/>
  <c r="B108" i="2"/>
  <c r="I112" i="2"/>
  <c r="I99" i="2"/>
  <c r="I49" i="2"/>
  <c r="I53" i="2"/>
  <c r="I54" i="2" s="1"/>
  <c r="I55" i="2" s="1"/>
  <c r="K49" i="2"/>
  <c r="B296" i="1"/>
  <c r="D295" i="1"/>
  <c r="I144" i="2"/>
  <c r="I145" i="2" s="1"/>
  <c r="I146" i="2" s="1"/>
  <c r="K140" i="2"/>
  <c r="I140" i="2"/>
  <c r="D188" i="2"/>
  <c r="J15" i="2"/>
  <c r="J16" i="2" s="1"/>
  <c r="I75" i="2" s="1"/>
  <c r="D186" i="1"/>
  <c r="I188" i="2"/>
  <c r="I147" i="2"/>
  <c r="I108" i="2"/>
  <c r="I56" i="2"/>
  <c r="I62" i="2"/>
  <c r="I63" i="2" s="1"/>
  <c r="Q161" i="1"/>
  <c r="D169" i="1"/>
  <c r="D170" i="1" s="1"/>
  <c r="Q164" i="1"/>
  <c r="Q163" i="1"/>
  <c r="Q162" i="1"/>
  <c r="N182" i="1"/>
  <c r="P182" i="1"/>
  <c r="B275" i="1"/>
  <c r="B294" i="1" s="1"/>
  <c r="B295" i="1" s="1"/>
  <c r="D59" i="1"/>
  <c r="B128" i="1"/>
  <c r="D218" i="1"/>
  <c r="D213" i="1"/>
  <c r="D214" i="1" s="1"/>
  <c r="I214" i="1" s="1"/>
  <c r="B149" i="1"/>
  <c r="B153" i="1"/>
  <c r="B148" i="1"/>
  <c r="B154" i="1" s="1"/>
  <c r="O189" i="1"/>
  <c r="O199" i="1"/>
  <c r="O194" i="1"/>
  <c r="B297" i="1"/>
  <c r="B298" i="1" s="1"/>
  <c r="B300" i="1" s="1"/>
  <c r="B303" i="1" s="1"/>
  <c r="B56" i="2"/>
  <c r="B197" i="2"/>
  <c r="B198" i="2" s="1"/>
  <c r="B199" i="2" s="1"/>
  <c r="B195" i="2"/>
  <c r="D196" i="2" s="1"/>
  <c r="B316" i="1"/>
  <c r="B312" i="1"/>
  <c r="I100" i="2"/>
  <c r="I78" i="2"/>
  <c r="I79" i="2" s="1"/>
  <c r="I90" i="2"/>
  <c r="I91" i="2" s="1"/>
  <c r="J13" i="2"/>
  <c r="J14" i="2" s="1"/>
  <c r="I171" i="2" s="1"/>
  <c r="D184" i="1"/>
  <c r="O188" i="1" s="1"/>
  <c r="N110" i="1"/>
  <c r="R110" i="1" s="1"/>
  <c r="V110" i="1" s="1"/>
  <c r="Z110" i="1" s="1"/>
  <c r="AD110" i="1" s="1"/>
  <c r="AH110" i="1" s="1"/>
  <c r="M102" i="1"/>
  <c r="Q102" i="1" s="1"/>
  <c r="U102" i="1" s="1"/>
  <c r="Y102" i="1" s="1"/>
  <c r="AC102" i="1" s="1"/>
  <c r="AG102" i="1" s="1"/>
  <c r="N94" i="1"/>
  <c r="R94" i="1" s="1"/>
  <c r="V94" i="1" s="1"/>
  <c r="Z94" i="1" s="1"/>
  <c r="AD94" i="1" s="1"/>
  <c r="AH94" i="1" s="1"/>
  <c r="O86" i="1"/>
  <c r="S86" i="1" s="1"/>
  <c r="W86" i="1" s="1"/>
  <c r="AA86" i="1" s="1"/>
  <c r="AE86" i="1" s="1"/>
  <c r="AI86" i="1" s="1"/>
  <c r="M70" i="1"/>
  <c r="Q70" i="1" s="1"/>
  <c r="U70" i="1" s="1"/>
  <c r="Y70" i="1" s="1"/>
  <c r="AC70" i="1" s="1"/>
  <c r="AG70" i="1" s="1"/>
  <c r="N78" i="1"/>
  <c r="R78" i="1" s="1"/>
  <c r="V78" i="1" s="1"/>
  <c r="Z78" i="1" s="1"/>
  <c r="AD78" i="1" s="1"/>
  <c r="AH78" i="1" s="1"/>
  <c r="M62" i="1"/>
  <c r="Q62" i="1" s="1"/>
  <c r="U62" i="1" s="1"/>
  <c r="Y62" i="1" s="1"/>
  <c r="AC62" i="1" s="1"/>
  <c r="AG62" i="1" s="1"/>
  <c r="M54" i="1"/>
  <c r="Q54" i="1" s="1"/>
  <c r="U54" i="1" s="1"/>
  <c r="Y54" i="1" s="1"/>
  <c r="AC54" i="1" s="1"/>
  <c r="AG54" i="1" s="1"/>
  <c r="M110" i="1"/>
  <c r="Q110" i="1" s="1"/>
  <c r="U110" i="1" s="1"/>
  <c r="Y110" i="1" s="1"/>
  <c r="AC110" i="1" s="1"/>
  <c r="AG110" i="1" s="1"/>
  <c r="O102" i="1"/>
  <c r="S102" i="1" s="1"/>
  <c r="W102" i="1" s="1"/>
  <c r="AA102" i="1" s="1"/>
  <c r="AE102" i="1" s="1"/>
  <c r="AI102" i="1" s="1"/>
  <c r="N86" i="1"/>
  <c r="R86" i="1" s="1"/>
  <c r="V86" i="1" s="1"/>
  <c r="Z86" i="1" s="1"/>
  <c r="AD86" i="1" s="1"/>
  <c r="AH86" i="1" s="1"/>
  <c r="M78" i="1"/>
  <c r="Q78" i="1" s="1"/>
  <c r="U78" i="1" s="1"/>
  <c r="Y78" i="1" s="1"/>
  <c r="AC78" i="1" s="1"/>
  <c r="AG78" i="1" s="1"/>
  <c r="N46" i="1"/>
  <c r="R46" i="1" s="1"/>
  <c r="V46" i="1" s="1"/>
  <c r="Z46" i="1" s="1"/>
  <c r="AD46" i="1" s="1"/>
  <c r="AH46" i="1" s="1"/>
  <c r="O62" i="1"/>
  <c r="S62" i="1" s="1"/>
  <c r="W62" i="1" s="1"/>
  <c r="AA62" i="1" s="1"/>
  <c r="AE62" i="1" s="1"/>
  <c r="AI62" i="1" s="1"/>
  <c r="O54" i="1"/>
  <c r="S54" i="1" s="1"/>
  <c r="W54" i="1" s="1"/>
  <c r="AA54" i="1" s="1"/>
  <c r="AE54" i="1" s="1"/>
  <c r="AI54" i="1" s="1"/>
  <c r="M46" i="1"/>
  <c r="Q46" i="1" s="1"/>
  <c r="U46" i="1" s="1"/>
  <c r="Y46" i="1" s="1"/>
  <c r="AC46" i="1" s="1"/>
  <c r="AG46" i="1" s="1"/>
  <c r="N102" i="1"/>
  <c r="R102" i="1" s="1"/>
  <c r="V102" i="1" s="1"/>
  <c r="Z102" i="1" s="1"/>
  <c r="AD102" i="1" s="1"/>
  <c r="AH102" i="1" s="1"/>
  <c r="O94" i="1"/>
  <c r="S94" i="1" s="1"/>
  <c r="W94" i="1" s="1"/>
  <c r="AA94" i="1" s="1"/>
  <c r="AE94" i="1" s="1"/>
  <c r="AI94" i="1" s="1"/>
  <c r="M86" i="1"/>
  <c r="Q86" i="1" s="1"/>
  <c r="U86" i="1" s="1"/>
  <c r="Y86" i="1" s="1"/>
  <c r="AC86" i="1" s="1"/>
  <c r="AG86" i="1" s="1"/>
  <c r="O70" i="1"/>
  <c r="S70" i="1" s="1"/>
  <c r="W70" i="1" s="1"/>
  <c r="AA70" i="1" s="1"/>
  <c r="AE70" i="1" s="1"/>
  <c r="AI70" i="1" s="1"/>
  <c r="M94" i="1"/>
  <c r="Q94" i="1" s="1"/>
  <c r="U94" i="1" s="1"/>
  <c r="Y94" i="1" s="1"/>
  <c r="AC94" i="1" s="1"/>
  <c r="AG94" i="1" s="1"/>
  <c r="O78" i="1"/>
  <c r="S78" i="1" s="1"/>
  <c r="W78" i="1" s="1"/>
  <c r="AA78" i="1" s="1"/>
  <c r="AE78" i="1" s="1"/>
  <c r="AI78" i="1" s="1"/>
  <c r="N70" i="1"/>
  <c r="R70" i="1" s="1"/>
  <c r="V70" i="1" s="1"/>
  <c r="Z70" i="1" s="1"/>
  <c r="AD70" i="1" s="1"/>
  <c r="AH70" i="1" s="1"/>
  <c r="N62" i="1"/>
  <c r="R62" i="1" s="1"/>
  <c r="V62" i="1" s="1"/>
  <c r="Z62" i="1" s="1"/>
  <c r="AD62" i="1" s="1"/>
  <c r="AH62" i="1" s="1"/>
  <c r="N54" i="1"/>
  <c r="R54" i="1" s="1"/>
  <c r="V54" i="1" s="1"/>
  <c r="Z54" i="1" s="1"/>
  <c r="AD54" i="1" s="1"/>
  <c r="AH54" i="1" s="1"/>
  <c r="O110" i="1"/>
  <c r="S110" i="1" s="1"/>
  <c r="W110" i="1" s="1"/>
  <c r="AA110" i="1" s="1"/>
  <c r="AE110" i="1" s="1"/>
  <c r="AI110" i="1" s="1"/>
  <c r="O46" i="1"/>
  <c r="S46" i="1" s="1"/>
  <c r="W46" i="1" s="1"/>
  <c r="AA46" i="1" s="1"/>
  <c r="AE46" i="1" s="1"/>
  <c r="AI46" i="1" s="1"/>
  <c r="I57" i="2" l="1"/>
  <c r="I58" i="2" s="1"/>
  <c r="D215" i="1"/>
  <c r="I215" i="1" s="1"/>
  <c r="A154" i="1"/>
  <c r="I130" i="2"/>
  <c r="B155" i="1"/>
  <c r="I39" i="2"/>
  <c r="I44" i="2" s="1"/>
  <c r="B318" i="1"/>
  <c r="B317" i="1"/>
  <c r="P190" i="1"/>
  <c r="N190" i="1"/>
  <c r="L164" i="1"/>
  <c r="L161" i="1"/>
  <c r="L162" i="1"/>
  <c r="L163" i="1"/>
  <c r="I148" i="2"/>
  <c r="I149" i="2" s="1"/>
  <c r="O203" i="1"/>
  <c r="O204" i="1" s="1"/>
  <c r="O205" i="1" s="1"/>
  <c r="O207" i="1" s="1"/>
  <c r="N200" i="1"/>
  <c r="P200" i="1"/>
  <c r="I87" i="2"/>
  <c r="I92" i="2" s="1"/>
  <c r="I122" i="2"/>
  <c r="D216" i="1"/>
  <c r="O193" i="1"/>
  <c r="N195" i="1" s="1"/>
  <c r="D217" i="1"/>
  <c r="G121" i="1"/>
  <c r="B136" i="1"/>
  <c r="B131" i="1"/>
  <c r="B132" i="1" s="1"/>
  <c r="B133" i="1" s="1"/>
  <c r="B138" i="1" s="1"/>
  <c r="B130" i="1"/>
  <c r="B139" i="1"/>
  <c r="B135" i="1"/>
  <c r="B134" i="1"/>
  <c r="B137" i="1"/>
  <c r="I163" i="2"/>
  <c r="K80" i="2"/>
  <c r="I80" i="2"/>
  <c r="I31" i="2"/>
  <c r="I105" i="2"/>
  <c r="I106" i="2" s="1"/>
  <c r="I107" i="2" s="1"/>
  <c r="I109" i="2" s="1"/>
  <c r="I110" i="2" s="1"/>
  <c r="K101" i="2"/>
  <c r="I101" i="2"/>
  <c r="I180" i="2"/>
  <c r="I174" i="2"/>
  <c r="I175" i="2" s="1"/>
  <c r="I166" i="2"/>
  <c r="I167" i="2" s="1"/>
  <c r="P195" i="1"/>
  <c r="K92" i="2" l="1"/>
  <c r="K44" i="2"/>
  <c r="I135" i="2"/>
  <c r="K135" i="2"/>
  <c r="I185" i="2"/>
  <c r="I186" i="2" s="1"/>
  <c r="I187" i="2" s="1"/>
  <c r="I189" i="2" s="1"/>
  <c r="I190" i="2" s="1"/>
  <c r="I181" i="2"/>
  <c r="K181" i="2"/>
  <c r="I127" i="2"/>
  <c r="K127" i="2"/>
  <c r="I168" i="2"/>
  <c r="K168" i="2"/>
  <c r="E121" i="1"/>
  <c r="I121" i="1"/>
  <c r="K176" i="2"/>
  <c r="I176" i="2"/>
  <c r="I36" i="2"/>
  <c r="K36" i="2"/>
  <c r="D219" i="1"/>
  <c r="I219" i="1" s="1"/>
  <c r="O213" i="1"/>
  <c r="O211" i="1"/>
  <c r="O212" i="1"/>
  <c r="O210" i="1"/>
</calcChain>
</file>

<file path=xl/sharedStrings.xml><?xml version="1.0" encoding="utf-8"?>
<sst xmlns="http://schemas.openxmlformats.org/spreadsheetml/2006/main" count="1410" uniqueCount="497">
  <si>
    <t>RC design วิธีกำลัง</t>
  </si>
  <si>
    <t>อ้างอิงตามมาตรฐาน วสท. 011008-21</t>
  </si>
  <si>
    <t>คำชี้แจง :</t>
  </si>
  <si>
    <t>สเปรดชีตนี้ใช้สำหรับช่วยวิศวกรออกแบบอาคารคอนกรีตเสริมเหล็ก ซึ่งการนำข้อมูลไปใช้นั้น</t>
  </si>
  <si>
    <t>start 1/1/2566 by Dr.Sorakarn Sritong-on</t>
  </si>
  <si>
    <t>เป็นดุลพินิจของวิศวกรผู้ใช้ เพราะวิศวกรเป็นผู้รับผิดชอบต่อการคำนวณออกแบบนั้นตามกฎหมาย</t>
  </si>
  <si>
    <t>โดยสเปรดชีตนี้เป็นเพียงเครื่องมือช่วยเท่านั้น</t>
  </si>
  <si>
    <t>ป้อนข้อมูล</t>
  </si>
  <si>
    <t>ผลลัพธ์สำคัญ</t>
  </si>
  <si>
    <t>รายการคำนวณ</t>
  </si>
  <si>
    <t>สมบัติของวัสดุ</t>
  </si>
  <si>
    <t>fc'</t>
  </si>
  <si>
    <t>ksc</t>
  </si>
  <si>
    <t>เหล็กเส้นกลมผิวเรียบ (RB)</t>
  </si>
  <si>
    <t>เหล็กข้ออ้อย (DB)</t>
  </si>
  <si>
    <t>fy</t>
  </si>
  <si>
    <t>พารามิเตอร์</t>
  </si>
  <si>
    <t>fc</t>
  </si>
  <si>
    <t>0.85fc'</t>
  </si>
  <si>
    <t>b1</t>
  </si>
  <si>
    <t>ถ้า fc' &lt;= 280 , b1 = 0.85 แต่ถ้า fc' &gt; 280 , b1 = 0.85 - 0.05[(fc'-280)/70) &gt;= 0.65</t>
  </si>
  <si>
    <t>RnT</t>
  </si>
  <si>
    <t>(pT)fy[1 - 0.5(pT)fy/fc]</t>
  </si>
  <si>
    <t>หรืือ</t>
  </si>
  <si>
    <t>0.375b1fc(1 - 0.1875b1)</t>
  </si>
  <si>
    <t>pB</t>
  </si>
  <si>
    <t>(fc)(b1)(6000)/[fy(6000 + fy)]</t>
  </si>
  <si>
    <t>pT</t>
  </si>
  <si>
    <t>0.375b1fc/fy</t>
  </si>
  <si>
    <t>pMin</t>
  </si>
  <si>
    <t>max(0.8sqrt(fc')/fy, 14/fy)</t>
  </si>
  <si>
    <t>pTemp</t>
  </si>
  <si>
    <t>0.8sqrt(fc')/fy</t>
  </si>
  <si>
    <t>14/fy</t>
  </si>
  <si>
    <t>phiM</t>
  </si>
  <si>
    <t>แรงดัด (หน้าตัดที่ควบคุมโดยแรงดึง)</t>
  </si>
  <si>
    <t>phiV</t>
  </si>
  <si>
    <t>แรงเฉือน</t>
  </si>
  <si>
    <t>phiC</t>
  </si>
  <si>
    <t>แรงอัดตามแนวแกนของเสาค.ส.ล.ที่รัดเหล็กแกนด้วยเหล็กปลอกเดี่ยว</t>
  </si>
  <si>
    <t>DLfac</t>
  </si>
  <si>
    <t>LLfac</t>
  </si>
  <si>
    <t>ออกแบบแผ่นพื้น</t>
  </si>
  <si>
    <t>#1, #3</t>
  </si>
  <si>
    <t>M- (ขนาน) ด้านสั้น</t>
  </si>
  <si>
    <t>ใช้เหล็กเสริม</t>
  </si>
  <si>
    <t>RB</t>
  </si>
  <si>
    <t>mm</t>
  </si>
  <si>
    <t>#1</t>
  </si>
  <si>
    <t>#2</t>
  </si>
  <si>
    <t>M+ (ขนาน) ด้านสั้น</t>
  </si>
  <si>
    <t>As ต่อ 1 เส้น</t>
  </si>
  <si>
    <t>sq.cm</t>
  </si>
  <si>
    <t>#4, #6</t>
  </si>
  <si>
    <t>M- (ขนาน) ด้านยาว</t>
  </si>
  <si>
    <t>#4</t>
  </si>
  <si>
    <t>#5</t>
  </si>
  <si>
    <t>#6</t>
  </si>
  <si>
    <t>M+ (ขนาน) ด้านยาว</t>
  </si>
  <si>
    <t>ดังนั้น ใช้ fy</t>
  </si>
  <si>
    <t>#3</t>
  </si>
  <si>
    <t>covering</t>
  </si>
  <si>
    <t>cm</t>
  </si>
  <si>
    <t>Wu(S^2)</t>
  </si>
  <si>
    <t>kg-m/m</t>
  </si>
  <si>
    <t>LL</t>
  </si>
  <si>
    <t>kg/sq.m</t>
  </si>
  <si>
    <t>กรณีที่ 1 : ช่วงพื้นภายใน</t>
  </si>
  <si>
    <t>As Use (cm^2/m)</t>
  </si>
  <si>
    <t>SL</t>
  </si>
  <si>
    <t>C</t>
  </si>
  <si>
    <t xml:space="preserve">Mu = C(Wu)S^2 (kg-m/m) </t>
  </si>
  <si>
    <t>Rn = Mu/(phiM)bd^2 (ksc)</t>
  </si>
  <si>
    <t>p = (fc/fy)[1 - sqrt(1-2Rn/fc)]</t>
  </si>
  <si>
    <t>As = pbd (cm^2/m)</t>
  </si>
  <si>
    <t>&lt;มากกว่าหรือเท่ากับ Asmin&gt;</t>
  </si>
  <si>
    <t>spacing (m)</t>
  </si>
  <si>
    <t>S</t>
  </si>
  <si>
    <t>m</t>
  </si>
  <si>
    <t>L</t>
  </si>
  <si>
    <t>กำหนดความหนา (t)</t>
  </si>
  <si>
    <t xml:space="preserve">คิดความกว้างพื้น (b) </t>
  </si>
  <si>
    <t>DL = 2400(ความหนา)</t>
  </si>
  <si>
    <t>Wu = DLfac(DL+SL) + LLfac(LL)</t>
  </si>
  <si>
    <t>กรณีที่ 2 : ไม่ต่อเนื่องกันด้านเดียว (ด้าน L)</t>
  </si>
  <si>
    <t>d = t - covering</t>
  </si>
  <si>
    <t>m = S/L</t>
  </si>
  <si>
    <t>นน.ลงคานด้าน S</t>
  </si>
  <si>
    <t>T/m</t>
  </si>
  <si>
    <t>(Wu)S/3</t>
  </si>
  <si>
    <t>นน.ลงคานด้าน L</t>
  </si>
  <si>
    <t>((Wu)S/3) * (3-m^2)/2</t>
  </si>
  <si>
    <t>กรณีที่ 2 : ไม่ต่อเนื่องกันด้านเดียว (ด้าน S)</t>
  </si>
  <si>
    <t>phiM(Mnt)</t>
  </si>
  <si>
    <t>kg-m</t>
  </si>
  <si>
    <t>phiM(RnT)bd^2</t>
  </si>
  <si>
    <t>AsMin</t>
  </si>
  <si>
    <t>(pTemp)bt</t>
  </si>
  <si>
    <t>Recheck</t>
  </si>
  <si>
    <t>Mu</t>
  </si>
  <si>
    <t>Rn</t>
  </si>
  <si>
    <t>Mu/(phiM)bd^2</t>
  </si>
  <si>
    <t>p</t>
  </si>
  <si>
    <t>(fc/fy)[1 - sqrt(1-2Rn/fc)]</t>
  </si>
  <si>
    <t>กรณีที่ 3 : ไม่ต่อเนื่องกันสองด้าน (ด้าน L)</t>
  </si>
  <si>
    <t>As</t>
  </si>
  <si>
    <t>pbd</t>
  </si>
  <si>
    <t>AsUse</t>
  </si>
  <si>
    <t>spacing</t>
  </si>
  <si>
    <t>As1/AsUse</t>
  </si>
  <si>
    <t xml:space="preserve">กรณีที่ 3 : ไม่ต่อเนื่องกันสองด้าน (ด้าน S และด้าน L) </t>
  </si>
  <si>
    <t xml:space="preserve">กรณีที่ 3 : ไม่ต่อเนื่องกันสองด้าน (ด้าน S) </t>
  </si>
  <si>
    <t>กรณีที่ 4 : ไม่ต่อเนื่องกันสามด้าน (ด้าน L ต่อเนื่อง)</t>
  </si>
  <si>
    <t>กรณีที่ 4 : ไม่ต่อเนื่องกันสามด้าน (ด้าน S ต่อเนื่อง)</t>
  </si>
  <si>
    <t>กรณีที่ 5 : ไม่ต่อเนื่องกันทั้งสี่ด้าน</t>
  </si>
  <si>
    <t>ออกแบบคาน</t>
  </si>
  <si>
    <t>ใช้เหล็กเสริมหลัก DB</t>
  </si>
  <si>
    <t>b</t>
  </si>
  <si>
    <t>h</t>
  </si>
  <si>
    <t>covering (ล่างเท่ากับบน)</t>
  </si>
  <si>
    <t>(assume การเสริมเหล็กบนและล่างจำนวนใกล้เคียงกัน)</t>
  </si>
  <si>
    <t>T-m</t>
  </si>
  <si>
    <t>phiM*Mnt</t>
  </si>
  <si>
    <t>Vu</t>
  </si>
  <si>
    <t>T</t>
  </si>
  <si>
    <t>d</t>
  </si>
  <si>
    <t>d'</t>
  </si>
  <si>
    <t>d-d'</t>
  </si>
  <si>
    <t>Mnt</t>
  </si>
  <si>
    <t>(RnT)bd^2</t>
  </si>
  <si>
    <t>pT*b*d*fy(d - a/2) โดย a = pT*d*fy/fc =</t>
  </si>
  <si>
    <t>Mu/phiM</t>
  </si>
  <si>
    <t>Mn'</t>
  </si>
  <si>
    <t>(Mu/phiM) - MnT : Case Doubly RC</t>
  </si>
  <si>
    <t>Mu/(phiM*bd^2) : Case Singly RC</t>
  </si>
  <si>
    <t>(fc/fy)*(1 - sqrt(1 - 2Rn/fc)) : Case Singly RC</t>
  </si>
  <si>
    <t>pUse</t>
  </si>
  <si>
    <t>If p &lt; pMin use pMin : Case Singly RC</t>
  </si>
  <si>
    <t>As1</t>
  </si>
  <si>
    <t>pT*bd : Case Doubly RC</t>
  </si>
  <si>
    <t>As2</t>
  </si>
  <si>
    <t>Mn'/fy(d-d') : Case Doubly RC</t>
  </si>
  <si>
    <t>fs'</t>
  </si>
  <si>
    <t>6000(1 - d'/0.375d) : Case Doubly RC</t>
  </si>
  <si>
    <t>fs' use</t>
  </si>
  <si>
    <t>fs' &lt;= fy : Case Doubly RC</t>
  </si>
  <si>
    <t>Ast</t>
  </si>
  <si>
    <t>pUsebd : Case Singly RC, As1 + As2 : Case Doubly RC</t>
  </si>
  <si>
    <t>Asc</t>
  </si>
  <si>
    <t>As2*fy/fs' : Case Doubly RC</t>
  </si>
  <si>
    <t>ใช้เหล็กลูกตั้งขนาด</t>
  </si>
  <si>
    <t>ปลอก</t>
  </si>
  <si>
    <t>Av ต่อ 1 ปลอก เท่ากับ 2As</t>
  </si>
  <si>
    <t>ดังนั้น Av เท่ากับ</t>
  </si>
  <si>
    <t>fyt</t>
  </si>
  <si>
    <t>Vc</t>
  </si>
  <si>
    <t>0.53sqrt(fc')*b*d</t>
  </si>
  <si>
    <t>Vu/phiV</t>
  </si>
  <si>
    <t>Vs</t>
  </si>
  <si>
    <t>(Vu/phiV) - Vc ถ้า (Vu/phiV) &gt; Vc</t>
  </si>
  <si>
    <t>1.1sqrt(fc')bd</t>
  </si>
  <si>
    <t>2.2sqrt(fc')bd</t>
  </si>
  <si>
    <t>ระยะเรียง เลือกค่าน้อยมาใช้</t>
  </si>
  <si>
    <t>แต่ถ้า Vs &gt; 2.2sqrt(fc')bwd ให้เปลี่ยนขนาดหน้าตัด</t>
  </si>
  <si>
    <t>Av*fyt/3.5b</t>
  </si>
  <si>
    <t>Av*fyt*d/Vs</t>
  </si>
  <si>
    <t>ถ้า Vs &lt; 1.1sqrt(fc')bd ใช้ d/2 แต่ถ้า Vs &gt; 1.1sqrt(fc')bd ใช้ d/4</t>
  </si>
  <si>
    <t>code</t>
  </si>
  <si>
    <t>ถ้า Vs &lt; 1.1sqrt(fc')bd ใช้ 0.60 m แต่ถ้า Vs &gt; 1.1sqrt(fc')bd ใช้ 0.30 m</t>
  </si>
  <si>
    <t>ออกแบบเสาสี่เหลี่ยมปลอกเดี่ยว (แบบรับแรงตามแนวแกนเท่านั้น)</t>
  </si>
  <si>
    <t>fc = 0.85fc'</t>
  </si>
  <si>
    <t>เหล็กยืน, M</t>
  </si>
  <si>
    <t>DB</t>
  </si>
  <si>
    <t>As/เส้น</t>
  </si>
  <si>
    <t>จำนวน</t>
  </si>
  <si>
    <t>เลือกใช้</t>
  </si>
  <si>
    <t>Pg = As/Ag</t>
  </si>
  <si>
    <t>Pu = phiC(0.80)[fc(Ag-As) + fyAs]</t>
  </si>
  <si>
    <t>ด้านแคบสุดของเสา ,t</t>
  </si>
  <si>
    <t>อีกด้านหนึ่งของเสา</t>
  </si>
  <si>
    <t>Pu</t>
  </si>
  <si>
    <t>เหล็กปลอก</t>
  </si>
  <si>
    <t>St, RB</t>
  </si>
  <si>
    <t>M, DB</t>
  </si>
  <si>
    <t>16M</t>
  </si>
  <si>
    <t>48St</t>
  </si>
  <si>
    <t>ด้านแคบ</t>
  </si>
  <si>
    <t>s &lt;=</t>
  </si>
  <si>
    <t>Ag</t>
  </si>
  <si>
    <t>As min = 0.01Ag</t>
  </si>
  <si>
    <t xml:space="preserve">As คำนวณ </t>
  </si>
  <si>
    <t>As ที่ต้องการ</t>
  </si>
  <si>
    <t>ออกแบบฐานรากวางบนดิน (สีเหลี่ยมจัตุรัสรับแรงตามแนวแกนเท่านั้น)</t>
  </si>
  <si>
    <t>เมื่อได้ขนาดและความหนาฐานราก นำมาหาค่า P และ Pu จริง</t>
  </si>
  <si>
    <t xml:space="preserve">fc </t>
  </si>
  <si>
    <t>น้ำหนักฐานราก</t>
  </si>
  <si>
    <t>2.4(B^2)(h)</t>
  </si>
  <si>
    <t>น้ำหนักใช้งาน, P</t>
  </si>
  <si>
    <t>น้ำหนักใช้งานจากตอม่อ + น้ำหนักฐานราก</t>
  </si>
  <si>
    <t>น้ำหนักเพิ่มค่าฐานราก</t>
  </si>
  <si>
    <t>DLfac*น้ำหนักฐานราก</t>
  </si>
  <si>
    <t>น้ำหนักเพิ่่มค่า, Pu</t>
  </si>
  <si>
    <t>น้ำหนักเพิ่มค่าจากตอม่อ + น้ำหนักเพิ่มค่าฐานราก</t>
  </si>
  <si>
    <t>ตรวจสอบกำลังแบกทาน</t>
  </si>
  <si>
    <t>กำลังแบกทานใช้งาน, q</t>
  </si>
  <si>
    <t>T/sq.m</t>
  </si>
  <si>
    <t>P/B^2</t>
  </si>
  <si>
    <t>q</t>
  </si>
  <si>
    <t>qa</t>
  </si>
  <si>
    <t xml:space="preserve">vcb </t>
  </si>
  <si>
    <t>หน่วยแรงเฉือนแบบคานที่ยอมให้ = 0.53sqrt(fc')</t>
  </si>
  <si>
    <t>ksm</t>
  </si>
  <si>
    <t>ออกแบบโดยใช้ค่า qu</t>
  </si>
  <si>
    <t>vct</t>
  </si>
  <si>
    <t>หน่่วยแรงเฉือนแบบสองทางที่ยอมให้ = sqrt(fc')</t>
  </si>
  <si>
    <t>กำลังแบกทานเพิ่มค่า, qu</t>
  </si>
  <si>
    <t>Pu/B^2</t>
  </si>
  <si>
    <t>ตรวจสอบแรงเฉือนแบบคาน</t>
  </si>
  <si>
    <t>ด้านแคบสุดของตอม่อ, c</t>
  </si>
  <si>
    <t>ถ้าเป็นเสาสี่เหลี่ยมผืนผ้า เลือกใช้ด้านแคบสุด</t>
  </si>
  <si>
    <t>phiV*Vcb</t>
  </si>
  <si>
    <t>phiV*vcb*B*d</t>
  </si>
  <si>
    <t>น้ำหนักใช้งานจากตอม่อ</t>
  </si>
  <si>
    <t>Vub</t>
  </si>
  <si>
    <t>qu[0.5B(B-c-2d)]</t>
  </si>
  <si>
    <t xml:space="preserve">ประเมินน้ำหนักฐานราก </t>
  </si>
  <si>
    <t>% ของน้ำหนักถ่ายจากตอม่อ</t>
  </si>
  <si>
    <t>น้ำหนักฐานรากประเมิน</t>
  </si>
  <si>
    <t>รวมน้ำหนักใช้งานประเมิน, Pe</t>
  </si>
  <si>
    <t>น้ำหนักใช้งานจากตอม่อ + น้ำหนักฐานรากประเมิน</t>
  </si>
  <si>
    <t>ตรวจสอบแรงเฉือนแบบสองทาง</t>
  </si>
  <si>
    <t>น้ำหนักเพิ่มค่าจากตอม่อ</t>
  </si>
  <si>
    <t>phiV*Vct</t>
  </si>
  <si>
    <t>phiV*vct*(4d^2 + 4cd)</t>
  </si>
  <si>
    <t>น้ำหนักเพิ่มค่าฐานรากประเมิน</t>
  </si>
  <si>
    <t>DLfac*น้ำหนักฐานรากประเมิน</t>
  </si>
  <si>
    <t>Vut</t>
  </si>
  <si>
    <t>qu[B^2 - (d+c)^2]</t>
  </si>
  <si>
    <t>รวมน้ำหนักเพิ่มค่าประเมิน, Pue</t>
  </si>
  <si>
    <t>น้ำหนักเพิ่มค่าจากตอม่อ + น้ำหนักเพิ่มค่าฐานรากประเมิน</t>
  </si>
  <si>
    <t>นำค่าประเมิน Pe มาหาขนาดฐานราก</t>
  </si>
  <si>
    <t>ตรวจสอบโมเมนต์ดัด</t>
  </si>
  <si>
    <t>กำลังแบกทานปลอดภัยของดิน, qa</t>
  </si>
  <si>
    <t>phiM*Rnt*Bd^2</t>
  </si>
  <si>
    <t>ขนาดฐานรากคำนวณ</t>
  </si>
  <si>
    <t>sqrt(Pe/qa)</t>
  </si>
  <si>
    <t>quB(B-c)^2/8</t>
  </si>
  <si>
    <t>เลือกใช้ขนาด, B</t>
  </si>
  <si>
    <t>ต้อง &gt;= ขนาดฐานรากคำนวณ</t>
  </si>
  <si>
    <t>ระยะหุ้มเหล็กเสริมฐานราก, cov</t>
  </si>
  <si>
    <t>มาตรฐาน วสท. 011008-21 ข้อ 7.7.1</t>
  </si>
  <si>
    <t>หาจำนวนเหล็กเสริม</t>
  </si>
  <si>
    <t>ตรวจสอบระยะฝังยึด</t>
  </si>
  <si>
    <t>Mu/(phiM*Bd^2)</t>
  </si>
  <si>
    <t>ระยะฝังยึดต่ำสุด</t>
  </si>
  <si>
    <t>มาตรฐาน วสท. 011008-21 ข้อ 12.2.1</t>
  </si>
  <si>
    <t>(fc/fy)[1 - sqrt(1 - 2Rn/fc)]</t>
  </si>
  <si>
    <t>เลือกใช้เหล็กยืน, db</t>
  </si>
  <si>
    <t>As req</t>
  </si>
  <si>
    <t>cm^2</t>
  </si>
  <si>
    <t>pBd</t>
  </si>
  <si>
    <t>Ab</t>
  </si>
  <si>
    <t>As min</t>
  </si>
  <si>
    <t>pTemp*Bh</t>
  </si>
  <si>
    <t>ระยะฝังพอ, ld</t>
  </si>
  <si>
    <t>fy*db/13.3sqrt(fc') &gt;= 30 cm</t>
  </si>
  <si>
    <t>As use</t>
  </si>
  <si>
    <t>เลือกค่ามากระหว่าง As และ As min</t>
  </si>
  <si>
    <t>ระยะฝัังยึดจริง, Ld</t>
  </si>
  <si>
    <t>[(B - c)/2]  - cov</t>
  </si>
  <si>
    <t>Ld</t>
  </si>
  <si>
    <t>ld</t>
  </si>
  <si>
    <t>ถ้าไม่ผ่าน ลดขนาดเหล็กยืน/เพิ่มขนาดฐานราก</t>
  </si>
  <si>
    <t>ขนาด</t>
  </si>
  <si>
    <t>As ต่อเส้น</t>
  </si>
  <si>
    <t>จำนวนเส้น</t>
  </si>
  <si>
    <t>As รวม</t>
  </si>
  <si>
    <t>ระยะเรียง</t>
  </si>
  <si>
    <t>ไม่ควรเกิน 0.45 m  มาตรฐาน วสท. 011008-21 ข้อ 7.6.5</t>
  </si>
  <si>
    <t>นำค่าประเมิน Pue มาหาความลึกฐานราก</t>
  </si>
  <si>
    <t>กำลังแบกทานเพิ่มค่าประเมิน, que</t>
  </si>
  <si>
    <t>Pue/B^2</t>
  </si>
  <si>
    <t>Mu ที่หน้าตัดวิกฤต</t>
  </si>
  <si>
    <t>queB(B-c)^2/8</t>
  </si>
  <si>
    <t>d เนื่องจาก Mu</t>
  </si>
  <si>
    <t>sqrt(Mu/phiM*Rnt*B)</t>
  </si>
  <si>
    <t>d เนื่องจากแรงเฉือนแบบคาน</t>
  </si>
  <si>
    <t>que(B-c)/[2(phiV*vcb + que)]</t>
  </si>
  <si>
    <t>vub/phiV</t>
  </si>
  <si>
    <t>Vu/(phiV*Bd)</t>
  </si>
  <si>
    <t>k1 = 4phiV*vct + que</t>
  </si>
  <si>
    <t>k2 = 2c(2phiV*vct + que)</t>
  </si>
  <si>
    <t>kg/m</t>
  </si>
  <si>
    <t>k3 = que(c^2 - B^2)</t>
  </si>
  <si>
    <t>kg</t>
  </si>
  <si>
    <t>d เนื่องจากแรงเฉือนแบบเจาะทะลุ</t>
  </si>
  <si>
    <t>(-k2 + sqrt(k2^2 - 4k1k3))/2k1</t>
  </si>
  <si>
    <t>vup/phiv</t>
  </si>
  <si>
    <t>Vu/(phiV*bo*d)</t>
  </si>
  <si>
    <t>d น้อยที่สุด</t>
  </si>
  <si>
    <t>มาตรฐาน วสท. 011008-34 ข้อ 15.7</t>
  </si>
  <si>
    <t>เลือกใช้ d</t>
  </si>
  <si>
    <t>ดังนั้น ความหนาฐานราก, h</t>
  </si>
  <si>
    <t>d + cov</t>
  </si>
  <si>
    <t>การเสริมเหล็กปลอกเสาเพื่อต้านทานการสั่นสะเทือนของแรงแผ่นดินไหว</t>
  </si>
  <si>
    <t>ด้านกว้างของหน้าตัดเสา, c1</t>
  </si>
  <si>
    <t>8M</t>
  </si>
  <si>
    <t>24S</t>
  </si>
  <si>
    <t>c2/2</t>
  </si>
  <si>
    <t>ค่าคงที่</t>
  </si>
  <si>
    <t>ใช้ระยะเรียง &lt;=</t>
  </si>
  <si>
    <t>ด้่านแคบของหน้าตัดเสา, c2</t>
  </si>
  <si>
    <t>So</t>
  </si>
  <si>
    <t>ความสูงเสาจากพื้นถึงใต้คาน, H</t>
  </si>
  <si>
    <t>H/6</t>
  </si>
  <si>
    <t>c1</t>
  </si>
  <si>
    <t>ใช้ระยะ &gt;=</t>
  </si>
  <si>
    <t>ขนาดเหล็กแกนเสา, M</t>
  </si>
  <si>
    <t>Lo</t>
  </si>
  <si>
    <t>ขนาเหล็กปลอกเสา, S</t>
  </si>
  <si>
    <t>2So</t>
  </si>
  <si>
    <t>&lt;=</t>
  </si>
  <si>
    <t>H - 2Lo</t>
  </si>
  <si>
    <t>0.5So</t>
  </si>
  <si>
    <t>Av = 3.5c1S/fy , sq.cm</t>
  </si>
  <si>
    <t>ออกแบบบันไดท้องเรียบ</t>
  </si>
  <si>
    <t>เหล็กเสริมหลักใช้</t>
  </si>
  <si>
    <t>RB หรือ DB</t>
  </si>
  <si>
    <t>Rnt</t>
  </si>
  <si>
    <t>เหล็กกันร้าวใช้</t>
  </si>
  <si>
    <t>ความยาวของบันได, L</t>
  </si>
  <si>
    <t>ลูกนอน, T</t>
  </si>
  <si>
    <t>ลููกตั้ง, R</t>
  </si>
  <si>
    <t>cov</t>
  </si>
  <si>
    <t>T/m คิดต่อความกว้างบันได 1 m</t>
  </si>
  <si>
    <t>t ขั้นต่ำ</t>
  </si>
  <si>
    <t>(L/20) * [0.4 + (fy/7000)]</t>
  </si>
  <si>
    <t>เลือกใช้ t</t>
  </si>
  <si>
    <t>ไม่ต่ำกว่า T ขั้นต่ำ และ 0.10 m</t>
  </si>
  <si>
    <t>t - cov</t>
  </si>
  <si>
    <t>DL</t>
  </si>
  <si>
    <t>{[1.2TR + 0.03R] + [2.4tsqrt(R^2 + T^2)] }/T</t>
  </si>
  <si>
    <t>Wu</t>
  </si>
  <si>
    <t>[DLfac*DL + LLfac*LL](1)</t>
  </si>
  <si>
    <t>คิดต่อความกว้างบันได 1 m</t>
  </si>
  <si>
    <t>WuL^2/8</t>
  </si>
  <si>
    <t>phiM*Rnt*d^2</t>
  </si>
  <si>
    <t>phiM*Rnt</t>
  </si>
  <si>
    <t>Mu/(phiM*d^2)</t>
  </si>
  <si>
    <t>p คำนวณ</t>
  </si>
  <si>
    <t>ค่ามากของ p คำนวณ และ pMin</t>
  </si>
  <si>
    <t>เหล็กเสริมหลัก</t>
  </si>
  <si>
    <t>sq.cm/m</t>
  </si>
  <si>
    <t>p(100)d</t>
  </si>
  <si>
    <t>คิดต่อความกว้างบันได 1 00 cm</t>
  </si>
  <si>
    <t>เลือกใช้ขนาด</t>
  </si>
  <si>
    <t>ระยะเรียง &lt;=</t>
  </si>
  <si>
    <t>As ต่อเส้น/As</t>
  </si>
  <si>
    <t>เหล็็กกันร้าว</t>
  </si>
  <si>
    <t>AsTemp</t>
  </si>
  <si>
    <t>pTemp(100)t</t>
  </si>
  <si>
    <t>คานรับบันได</t>
  </si>
  <si>
    <t>นน.เพิ่มค่าจากบันได</t>
  </si>
  <si>
    <t>Wu จากบันได*L/2</t>
  </si>
  <si>
    <t>นน.ตามแนวคาน</t>
  </si>
  <si>
    <t>นน.เพิ่มค่าจากบันได/1.4  ใช้ป้อนนน.บรรทุกตามแนวคานใน DON_RC_SDM</t>
  </si>
  <si>
    <t>ความกว้างช่องบันได, L</t>
  </si>
  <si>
    <t>ความกว้าง, b</t>
  </si>
  <si>
    <t>ความลึก, h</t>
  </si>
  <si>
    <t xml:space="preserve">นน.เพิ่มค่าจากบันได + DLfac*2.4*b*h </t>
  </si>
  <si>
    <t>Wu*L/2</t>
  </si>
  <si>
    <t>Wu*L^2/8</t>
  </si>
  <si>
    <t>ถ้ามีคานชานพัก นำค่า b, h , Vu และ Mu ไปป้อนใน ออกแบบคาน</t>
  </si>
  <si>
    <t>เสาเข็ม 1 ต้น</t>
  </si>
  <si>
    <t>ขนาดหน้าตัดเสาเข็ม</t>
  </si>
  <si>
    <t>กำลังรับน้ำหนักปลอดภัย, Pa</t>
  </si>
  <si>
    <t>T/ต้น</t>
  </si>
  <si>
    <t>ระยะหุ้มเหล็กเสริม, cov</t>
  </si>
  <si>
    <t>เลือกใช้ขนาด D</t>
  </si>
  <si>
    <t>&gt;= ขนาดหน้าตัดเสาเข็ม</t>
  </si>
  <si>
    <t>ความลึกฐานราก, H</t>
  </si>
  <si>
    <t>2D</t>
  </si>
  <si>
    <t>2D + 5cov</t>
  </si>
  <si>
    <t>เลือกใช้ขนาดฐานราก, B</t>
  </si>
  <si>
    <t>&gt;= ขนาดฐานรากคำนวณ</t>
  </si>
  <si>
    <t>2.4*B^2*H</t>
  </si>
  <si>
    <t>น้ำหนัักใช้งาน, P</t>
  </si>
  <si>
    <t>pTemp*B*H</t>
  </si>
  <si>
    <t>ใช้เหล็ก DB-20 mm</t>
  </si>
  <si>
    <t>เส้น</t>
  </si>
  <si>
    <t>จำนวนขั้นต่ำคือ 8 แต่ถ้า As &lt; As req และ ระยะเรียง &gt; 45 cm ใช้ 16</t>
  </si>
  <si>
    <t>เสาเข็ม 2 ต้น</t>
  </si>
  <si>
    <t>ขนาดหน้าตัดเสาเข็ม, Dp</t>
  </si>
  <si>
    <t>Dcri</t>
  </si>
  <si>
    <t>(c+d)/2</t>
  </si>
  <si>
    <t>X</t>
  </si>
  <si>
    <t>(Lmid/2) - Dcri</t>
  </si>
  <si>
    <t>Vut req</t>
  </si>
  <si>
    <t>2Ru(0.5 + X/Dp)</t>
  </si>
  <si>
    <t>ถ้า Vut req &gt; 2Ru ให้เท่ากับ 2Ru</t>
  </si>
  <si>
    <t>จำนวนเสาเข็มคำนวณ</t>
  </si>
  <si>
    <t>ต้น</t>
  </si>
  <si>
    <t>เลือกใช้จำนวนเสาเข็ม</t>
  </si>
  <si>
    <t>c/2 + d</t>
  </si>
  <si>
    <t>Vub req</t>
  </si>
  <si>
    <t>Ru(0.5 + X/Dp)</t>
  </si>
  <si>
    <t>ถ้า Vub req &lt; 0 ให้เท่ากับ 0</t>
  </si>
  <si>
    <t>Lmid req</t>
  </si>
  <si>
    <t>3D</t>
  </si>
  <si>
    <t>เลืือกใช้ Lmid</t>
  </si>
  <si>
    <t>Ledge req</t>
  </si>
  <si>
    <t>D</t>
  </si>
  <si>
    <t>เลือกใช้้ Ledge</t>
  </si>
  <si>
    <t>ความยาวฐานราก, L</t>
  </si>
  <si>
    <t>Lmid + 2Ledge</t>
  </si>
  <si>
    <t>Ru(Lmid-c)/2</t>
  </si>
  <si>
    <t>ขนานด้านยาว</t>
  </si>
  <si>
    <t>ระยะฝังพอ, Ldh</t>
  </si>
  <si>
    <t>[(L - c)/2]  - cov</t>
  </si>
  <si>
    <t>pTemp*BH</t>
  </si>
  <si>
    <t>กำหนด d</t>
  </si>
  <si>
    <t>&gt;= 0.30 m</t>
  </si>
  <si>
    <t>จำนวนเหล็กเสริม</t>
  </si>
  <si>
    <t>As use/Ab</t>
  </si>
  <si>
    <t>เลือกใช้, N</t>
  </si>
  <si>
    <t>เส้้น</t>
  </si>
  <si>
    <t>(B-2*cov)/(N-1)</t>
  </si>
  <si>
    <t>c + d + 2cov</t>
  </si>
  <si>
    <t>ขนานด้านสั้น</t>
  </si>
  <si>
    <t>ความกว้างฐานราก, B</t>
  </si>
  <si>
    <t>&gt;= max(2D, c+d+2cov)</t>
  </si>
  <si>
    <t>pTemp*LH</t>
  </si>
  <si>
    <t>As req/Ab</t>
  </si>
  <si>
    <t>2.4(B*L*H)</t>
  </si>
  <si>
    <t>(L-2*cov)/(N-1)</t>
  </si>
  <si>
    <t>กำลังรับน้ำหนักปลอดภัย 2 ต้น, 2Pa</t>
  </si>
  <si>
    <t>แรงเพิ่มค่าในเสาเข็ม, Ru</t>
  </si>
  <si>
    <t>Pu/2</t>
  </si>
  <si>
    <t>เสาเข็ม 3 ต้น</t>
  </si>
  <si>
    <t>phiV*vct*Pi*(c+d)*d</t>
  </si>
  <si>
    <t>[Lmid/sqrt(3)] - Dcri</t>
  </si>
  <si>
    <t>3Ru(0.5 + X/Dp)</t>
  </si>
  <si>
    <t>ถ้า Vut req &gt; 3Ru ให้เท่ากับ 3Ru</t>
  </si>
  <si>
    <t>k1</t>
  </si>
  <si>
    <t>Lmid + 2sqrt(3)Ledge</t>
  </si>
  <si>
    <t>k2</t>
  </si>
  <si>
    <t xml:space="preserve">[Lmid/sqrt(3)] + 2Ledge - (c/2) - d </t>
  </si>
  <si>
    <t>k3</t>
  </si>
  <si>
    <t>[3Lmid/2sqrt(3)] + 3Ledge</t>
  </si>
  <si>
    <t>ขนาดหน้าตัดเสา, Cx</t>
  </si>
  <si>
    <t>Lb</t>
  </si>
  <si>
    <t>k1*k2/k3</t>
  </si>
  <si>
    <t>ขนาดหน้้าตัดเสา, Cy</t>
  </si>
  <si>
    <t>phiV*vcb*Lb*d</t>
  </si>
  <si>
    <t>เส้นผ่านศูนย์กลางเสาเทียบเท่า, c</t>
  </si>
  <si>
    <t>2*sqrt(Cx*Cy/Pi)</t>
  </si>
  <si>
    <t>Ledge</t>
  </si>
  <si>
    <t>Lmid เริ่มต้น</t>
  </si>
  <si>
    <t>[Lmid/sqr(3)] + 2Ledge - (c/2)</t>
  </si>
  <si>
    <t>k</t>
  </si>
  <si>
    <t>[sqr(3)Lmid/2] + 3Ledge</t>
  </si>
  <si>
    <t>C1</t>
  </si>
  <si>
    <t>[Lmid/2sqrt(3)] + Ledge - k</t>
  </si>
  <si>
    <t>Lm</t>
  </si>
  <si>
    <t xml:space="preserve">ถ้า C1 &gt;= cov , Lmid = Lmid เริ่มต้น </t>
  </si>
  <si>
    <t>phiM*Rnt*Lm*d^2</t>
  </si>
  <si>
    <t>เลือกใช้ Lmid</t>
  </si>
  <si>
    <t>แต่ถ้า C1 &lt; cov , Lmid = 2sqrt(3)*[k + cov - Ledge)</t>
  </si>
  <si>
    <t xml:space="preserve">Ru[(Lmid/sqrt(3) - (c/2)] </t>
  </si>
  <si>
    <t>Mu/(phiM*Lm*d^2)</t>
  </si>
  <si>
    <t>(Lmid/sqrt(3)) + Ledge - (c/2) - cov</t>
  </si>
  <si>
    <t>p*Lm*d</t>
  </si>
  <si>
    <t>pTemp*Lm*H</t>
  </si>
  <si>
    <t>พื้นที่ฐานราก, Af</t>
  </si>
  <si>
    <t>sq.m</t>
  </si>
  <si>
    <t>0.5[Lmid + 2sqrt(3)Ledge]*[0.5sqrt(3)*Lmid) + 3Ledge] - sqrt(3)Ledge^2</t>
  </si>
  <si>
    <t>2.4(Af*H)</t>
  </si>
  <si>
    <t>(Lm-2*cov)/(N-1)</t>
  </si>
  <si>
    <t>กำลังรับน้ำหนักปลอดภัย 3 ต้น, 3Pa</t>
  </si>
  <si>
    <t>Pu/3</t>
  </si>
  <si>
    <t>เสาเข็ม 4 ต้น</t>
  </si>
  <si>
    <t>4Ru(0.5 + X/Dp)</t>
  </si>
  <si>
    <t>ถ้า Vut req &gt; 4Ru ให้เท่ากับ 4Ru</t>
  </si>
  <si>
    <t>phiV*vcb*L*d</t>
  </si>
  <si>
    <t>phiM*Rnt*Ld^2</t>
  </si>
  <si>
    <t>2Ru(Lmid-c)/2</t>
  </si>
  <si>
    <t>Mu/(phiM*Ld^2)</t>
  </si>
  <si>
    <t>2.4(L^2*H)</t>
  </si>
  <si>
    <t>กำลังรับน้ำหนักปลอดภัย 4 ต้น, 4Pa</t>
  </si>
  <si>
    <t>Pu/4</t>
  </si>
  <si>
    <t>เสาเข็ม 5 ต้น</t>
  </si>
  <si>
    <t>sqrt(2)[(Lmid/2) - Dcri]</t>
  </si>
  <si>
    <t>3Dsqrt(2)</t>
  </si>
  <si>
    <t>กำลังรับน้ำหนักปลอดภัย 5 ต้น, 5Pa</t>
  </si>
  <si>
    <t>Pu/5</t>
  </si>
  <si>
    <t>latest update 16/03/2567</t>
  </si>
  <si>
    <t>((Pu/phiC0.80) - fcAg)/(fy-fc)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</si>
</sst>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7" formatCode="0.0000"/>
    <numFmt numFmtId="188" formatCode="0.00000"/>
    <numFmt numFmtId="189" formatCode="0.000"/>
    <numFmt numFmtId="190" formatCode="#,##0.000"/>
    <numFmt numFmtId="191" formatCode="#,##0.0000"/>
    <numFmt numFmtId="192" formatCode="0.0"/>
    <numFmt numFmtId="193" formatCode="[$฿-41E]#,##0.00"/>
  </numFmts>
  <fonts count="36">
    <font>
      <sz val="10"/>
      <color rgb="FF000000"/>
      <name val="Calibri"/>
      <scheme val="minor"/>
    </font>
    <font>
      <b/>
      <i/>
      <sz val="14"/>
      <color rgb="FF000000"/>
      <name val="Calibri"/>
    </font>
    <font>
      <sz val="10"/>
      <color rgb="FF000000"/>
      <name val="Calibri"/>
    </font>
    <font>
      <sz val="14"/>
      <color theme="1"/>
      <name val="Calibri"/>
      <scheme val="minor"/>
    </font>
    <font>
      <i/>
      <sz val="14"/>
      <color rgb="FF000000"/>
      <name val="Calibri"/>
    </font>
    <font>
      <i/>
      <sz val="14"/>
      <color theme="1"/>
      <name val="Calibri"/>
      <scheme val="minor"/>
    </font>
    <font>
      <sz val="14"/>
      <color rgb="FF000000"/>
      <name val="Calibri"/>
    </font>
    <font>
      <b/>
      <sz val="14"/>
      <color rgb="FF000000"/>
      <name val="Calibri"/>
    </font>
    <font>
      <b/>
      <i/>
      <sz val="14"/>
      <color theme="1"/>
      <name val="Calibri"/>
      <scheme val="minor"/>
    </font>
    <font>
      <b/>
      <sz val="14"/>
      <color theme="1"/>
      <name val="Calibri"/>
      <scheme val="minor"/>
    </font>
    <font>
      <sz val="14"/>
      <color rgb="FF974806"/>
      <name val="Calibri"/>
      <scheme val="minor"/>
    </font>
    <font>
      <sz val="14"/>
      <color rgb="FF000000"/>
      <name val="Calibri"/>
      <scheme val="minor"/>
    </font>
    <font>
      <i/>
      <sz val="14"/>
      <color rgb="FF000000"/>
      <name val="Calibri"/>
      <scheme val="minor"/>
    </font>
    <font>
      <i/>
      <sz val="14"/>
      <color rgb="FF6AA84F"/>
      <name val="Calibri"/>
      <scheme val="minor"/>
    </font>
    <font>
      <i/>
      <sz val="10"/>
      <color rgb="FF6AA84F"/>
      <name val="Calibri"/>
      <scheme val="minor"/>
    </font>
    <font>
      <b/>
      <sz val="14"/>
      <color rgb="FF0070C0"/>
      <name val="Calibri"/>
      <scheme val="minor"/>
    </font>
    <font>
      <sz val="14"/>
      <color rgb="FFFF0000"/>
      <name val="Calibri"/>
      <scheme val="minor"/>
    </font>
    <font>
      <sz val="10"/>
      <color theme="1"/>
      <name val="Calibri"/>
      <scheme val="minor"/>
    </font>
    <font>
      <sz val="10"/>
      <color rgb="FF000000"/>
      <name val="Roboto"/>
    </font>
    <font>
      <b/>
      <sz val="14"/>
      <color rgb="FFFF0000"/>
      <name val="Calibri"/>
      <scheme val="minor"/>
    </font>
    <font>
      <sz val="14"/>
      <color theme="4"/>
      <name val="Calibri"/>
      <scheme val="minor"/>
    </font>
    <font>
      <b/>
      <sz val="14"/>
      <color rgb="FF000000"/>
      <name val="Calibri"/>
      <scheme val="minor"/>
    </font>
    <font>
      <sz val="10"/>
      <name val="Calibri"/>
    </font>
    <font>
      <b/>
      <sz val="14"/>
      <color rgb="FFC00000"/>
      <name val="Calibri"/>
      <scheme val="minor"/>
    </font>
    <font>
      <sz val="14"/>
      <color rgb="FFC00000"/>
      <name val="Calibri"/>
      <scheme val="minor"/>
    </font>
    <font>
      <b/>
      <sz val="10"/>
      <color theme="1"/>
      <name val="Calibri"/>
      <scheme val="minor"/>
    </font>
    <font>
      <i/>
      <sz val="14"/>
      <color rgb="FFFF0000"/>
      <name val="Calibri"/>
      <scheme val="minor"/>
    </font>
    <font>
      <i/>
      <sz val="14"/>
      <color rgb="FF1F1F1F"/>
      <name val="Calibri"/>
      <scheme val="minor"/>
    </font>
    <font>
      <sz val="14"/>
      <color rgb="FF7E3794"/>
      <name val="Calibri"/>
      <scheme val="minor"/>
    </font>
    <font>
      <sz val="13"/>
      <color theme="1"/>
      <name val="Calibri"/>
      <scheme val="minor"/>
    </font>
    <font>
      <i/>
      <sz val="13"/>
      <color rgb="FF000000"/>
      <name val="Arial"/>
    </font>
    <font>
      <sz val="14"/>
      <name val="Calibri"/>
    </font>
    <font>
      <b/>
      <sz val="13"/>
      <color theme="1"/>
      <name val="Calibri"/>
      <scheme val="minor"/>
    </font>
    <font>
      <sz val="14"/>
      <color rgb="FF000000"/>
      <name val="&quot;Google Sans Mono&quot;"/>
    </font>
    <font>
      <sz val="14"/>
      <color rgb="FF1F1F1F"/>
      <name val="Arial"/>
    </font>
    <font>
      <i/>
      <sz val="14"/>
      <color rgb="FF1F1F1F"/>
      <name val="&quot;Google Sans&quot;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6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0" borderId="0" xfId="0" applyFont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6" fillId="2" borderId="0" xfId="0" applyFont="1" applyFill="1" applyAlignment="1"/>
    <xf numFmtId="0" fontId="6" fillId="3" borderId="0" xfId="0" applyFont="1" applyFill="1" applyAlignment="1"/>
    <xf numFmtId="0" fontId="8" fillId="0" borderId="0" xfId="0" applyFont="1"/>
    <xf numFmtId="0" fontId="9" fillId="0" borderId="0" xfId="0" applyFont="1"/>
    <xf numFmtId="0" fontId="3" fillId="4" borderId="1" xfId="0" applyFont="1" applyFill="1" applyBorder="1"/>
    <xf numFmtId="0" fontId="9" fillId="0" borderId="0" xfId="0" applyFont="1" applyAlignment="1"/>
    <xf numFmtId="0" fontId="10" fillId="0" borderId="0" xfId="0" applyFont="1"/>
    <xf numFmtId="0" fontId="11" fillId="2" borderId="1" xfId="0" applyFont="1" applyFill="1" applyBorder="1" applyAlignment="1"/>
    <xf numFmtId="0" fontId="11" fillId="0" borderId="0" xfId="0" applyFo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4" borderId="0" xfId="0" applyFont="1" applyFill="1" applyAlignment="1"/>
    <xf numFmtId="0" fontId="12" fillId="0" borderId="0" xfId="0" applyFo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3" fillId="0" borderId="0" xfId="0" applyNumberFormat="1" applyFont="1" applyAlignme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87" fontId="3" fillId="0" borderId="0" xfId="0" applyNumberFormat="1" applyFont="1"/>
    <xf numFmtId="187" fontId="3" fillId="0" borderId="0" xfId="0" applyNumberFormat="1" applyFont="1" applyAlignment="1"/>
    <xf numFmtId="188" fontId="3" fillId="0" borderId="0" xfId="0" applyNumberFormat="1" applyFont="1" applyAlignment="1">
      <alignment horizontal="center"/>
    </xf>
    <xf numFmtId="0" fontId="3" fillId="4" borderId="0" xfId="0" applyFont="1" applyFill="1"/>
    <xf numFmtId="0" fontId="13" fillId="0" borderId="0" xfId="0" applyFont="1" applyAlignment="1">
      <alignment horizontal="right"/>
    </xf>
    <xf numFmtId="187" fontId="13" fillId="0" borderId="0" xfId="0" applyNumberFormat="1" applyFont="1"/>
    <xf numFmtId="0" fontId="13" fillId="0" borderId="0" xfId="0" applyFont="1"/>
    <xf numFmtId="0" fontId="14" fillId="0" borderId="0" xfId="0" applyFont="1"/>
    <xf numFmtId="187" fontId="13" fillId="0" borderId="0" xfId="0" applyNumberFormat="1" applyFont="1" applyAlignment="1"/>
    <xf numFmtId="11" fontId="9" fillId="4" borderId="1" xfId="0" applyNumberFormat="1" applyFont="1" applyFill="1" applyBorder="1"/>
    <xf numFmtId="0" fontId="15" fillId="0" borderId="0" xfId="0" applyFont="1" applyAlignment="1"/>
    <xf numFmtId="0" fontId="10" fillId="4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1" fillId="0" borderId="2" xfId="0" applyFont="1" applyBorder="1"/>
    <xf numFmtId="0" fontId="15" fillId="0" borderId="3" xfId="0" applyFont="1" applyBorder="1" applyAlignment="1">
      <alignment horizontal="center"/>
    </xf>
    <xf numFmtId="0" fontId="11" fillId="0" borderId="4" xfId="0" applyFont="1" applyBorder="1"/>
    <xf numFmtId="0" fontId="16" fillId="0" borderId="0" xfId="0" applyFont="1" applyAlignment="1"/>
    <xf numFmtId="0" fontId="3" fillId="0" borderId="0" xfId="0" applyFont="1" applyAlignment="1">
      <alignment horizontal="right"/>
    </xf>
    <xf numFmtId="187" fontId="11" fillId="0" borderId="0" xfId="0" applyNumberFormat="1" applyFont="1"/>
    <xf numFmtId="2" fontId="9" fillId="0" borderId="0" xfId="0" applyNumberFormat="1" applyFont="1" applyAlignment="1">
      <alignment horizontal="center"/>
    </xf>
    <xf numFmtId="189" fontId="3" fillId="0" borderId="0" xfId="0" applyNumberFormat="1" applyFont="1"/>
    <xf numFmtId="0" fontId="3" fillId="0" borderId="0" xfId="0" applyFont="1" applyAlignment="1"/>
    <xf numFmtId="0" fontId="17" fillId="0" borderId="5" xfId="0" applyFont="1" applyBorder="1"/>
    <xf numFmtId="0" fontId="16" fillId="0" borderId="0" xfId="0" applyFont="1" applyAlignment="1">
      <alignment horizontal="center"/>
    </xf>
    <xf numFmtId="0" fontId="17" fillId="0" borderId="6" xfId="0" applyFont="1" applyBorder="1"/>
    <xf numFmtId="189" fontId="3" fillId="4" borderId="1" xfId="0" applyNumberFormat="1" applyFont="1" applyFill="1" applyBorder="1"/>
    <xf numFmtId="0" fontId="5" fillId="0" borderId="0" xfId="0" applyFont="1"/>
    <xf numFmtId="0" fontId="15" fillId="0" borderId="5" xfId="0" applyFont="1" applyBorder="1"/>
    <xf numFmtId="0" fontId="15" fillId="0" borderId="6" xfId="0" applyFont="1" applyBorder="1" applyAlignment="1">
      <alignment horizontal="right"/>
    </xf>
    <xf numFmtId="0" fontId="11" fillId="0" borderId="7" xfId="0" applyFont="1" applyBorder="1"/>
    <xf numFmtId="0" fontId="15" fillId="0" borderId="8" xfId="0" applyFont="1" applyBorder="1" applyAlignment="1">
      <alignment horizontal="center"/>
    </xf>
    <xf numFmtId="0" fontId="11" fillId="0" borderId="9" xfId="0" applyFont="1" applyBorder="1"/>
    <xf numFmtId="0" fontId="10" fillId="0" borderId="0" xfId="0" applyFont="1" applyAlignment="1"/>
    <xf numFmtId="0" fontId="11" fillId="4" borderId="0" xfId="0" applyFont="1" applyFill="1" applyAlignment="1">
      <alignment horizontal="center"/>
    </xf>
    <xf numFmtId="190" fontId="3" fillId="4" borderId="1" xfId="0" applyNumberFormat="1" applyFont="1" applyFill="1" applyBorder="1"/>
    <xf numFmtId="11" fontId="3" fillId="4" borderId="1" xfId="0" applyNumberFormat="1" applyFont="1" applyFill="1" applyBorder="1" applyAlignment="1">
      <alignment horizontal="center"/>
    </xf>
    <xf numFmtId="11" fontId="3" fillId="4" borderId="1" xfId="0" applyNumberFormat="1" applyFont="1" applyFill="1" applyBorder="1" applyAlignment="1">
      <alignment horizontal="center"/>
    </xf>
    <xf numFmtId="11" fontId="18" fillId="4" borderId="0" xfId="0" applyNumberFormat="1" applyFont="1" applyFill="1" applyAlignment="1">
      <alignment horizontal="center"/>
    </xf>
    <xf numFmtId="11" fontId="11" fillId="4" borderId="0" xfId="0" applyNumberFormat="1" applyFont="1" applyFill="1" applyAlignment="1">
      <alignment horizontal="center"/>
    </xf>
    <xf numFmtId="11" fontId="3" fillId="4" borderId="10" xfId="0" applyNumberFormat="1" applyFont="1" applyFill="1" applyBorder="1" applyAlignment="1">
      <alignment horizontal="center"/>
    </xf>
    <xf numFmtId="11" fontId="9" fillId="4" borderId="10" xfId="0" applyNumberFormat="1" applyFont="1" applyFill="1" applyBorder="1"/>
    <xf numFmtId="11" fontId="9" fillId="4" borderId="11" xfId="0" applyNumberFormat="1" applyFont="1" applyFill="1" applyBorder="1" applyAlignment="1">
      <alignment horizontal="center"/>
    </xf>
    <xf numFmtId="190" fontId="19" fillId="4" borderId="12" xfId="0" applyNumberFormat="1" applyFont="1" applyFill="1" applyBorder="1" applyAlignment="1">
      <alignment horizontal="center"/>
    </xf>
    <xf numFmtId="11" fontId="9" fillId="4" borderId="13" xfId="0" applyNumberFormat="1" applyFont="1" applyFill="1" applyBorder="1" applyAlignment="1">
      <alignment horizontal="center"/>
    </xf>
    <xf numFmtId="11" fontId="9" fillId="4" borderId="1" xfId="0" applyNumberFormat="1" applyFont="1" applyFill="1" applyBorder="1" applyAlignment="1">
      <alignment horizontal="center"/>
    </xf>
    <xf numFmtId="4" fontId="15" fillId="4" borderId="12" xfId="0" applyNumberFormat="1" applyFont="1" applyFill="1" applyBorder="1" applyAlignment="1">
      <alignment horizontal="center"/>
    </xf>
    <xf numFmtId="11" fontId="9" fillId="4" borderId="14" xfId="0" applyNumberFormat="1" applyFont="1" applyFill="1" applyBorder="1" applyAlignment="1">
      <alignment horizontal="center"/>
    </xf>
    <xf numFmtId="4" fontId="9" fillId="4" borderId="11" xfId="0" applyNumberFormat="1" applyFont="1" applyFill="1" applyBorder="1" applyAlignment="1">
      <alignment horizontal="center"/>
    </xf>
    <xf numFmtId="4" fontId="9" fillId="4" borderId="13" xfId="0" applyNumberFormat="1" applyFont="1" applyFill="1" applyBorder="1" applyAlignment="1">
      <alignment horizontal="center"/>
    </xf>
    <xf numFmtId="11" fontId="9" fillId="4" borderId="15" xfId="0" applyNumberFormat="1" applyFont="1" applyFill="1" applyBorder="1" applyAlignment="1">
      <alignment horizontal="center"/>
    </xf>
    <xf numFmtId="191" fontId="15" fillId="4" borderId="12" xfId="0" applyNumberFormat="1" applyFont="1" applyFill="1" applyBorder="1" applyAlignment="1">
      <alignment horizontal="center"/>
    </xf>
    <xf numFmtId="190" fontId="15" fillId="4" borderId="12" xfId="0" applyNumberFormat="1" applyFont="1" applyFill="1" applyBorder="1" applyAlignment="1">
      <alignment horizontal="center"/>
    </xf>
    <xf numFmtId="189" fontId="3" fillId="4" borderId="16" xfId="0" applyNumberFormat="1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horizontal="center"/>
    </xf>
    <xf numFmtId="190" fontId="15" fillId="4" borderId="18" xfId="0" applyNumberFormat="1" applyFont="1" applyFill="1" applyBorder="1" applyAlignment="1">
      <alignment horizontal="center"/>
    </xf>
    <xf numFmtId="4" fontId="9" fillId="4" borderId="1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/>
    <xf numFmtId="189" fontId="16" fillId="4" borderId="1" xfId="0" applyNumberFormat="1" applyFont="1" applyFill="1" applyBorder="1" applyAlignment="1">
      <alignment horizontal="center"/>
    </xf>
    <xf numFmtId="0" fontId="17" fillId="0" borderId="21" xfId="0" applyFont="1" applyBorder="1"/>
    <xf numFmtId="0" fontId="3" fillId="4" borderId="16" xfId="0" applyFont="1" applyFill="1" applyBorder="1" applyAlignment="1">
      <alignment horizontal="center"/>
    </xf>
    <xf numFmtId="4" fontId="16" fillId="4" borderId="1" xfId="0" applyNumberFormat="1" applyFont="1" applyFill="1" applyBorder="1" applyAlignment="1">
      <alignment horizontal="center"/>
    </xf>
    <xf numFmtId="191" fontId="16" fillId="4" borderId="1" xfId="0" applyNumberFormat="1" applyFont="1" applyFill="1" applyBorder="1" applyAlignment="1">
      <alignment horizontal="center"/>
    </xf>
    <xf numFmtId="190" fontId="16" fillId="4" borderId="1" xfId="0" applyNumberFormat="1" applyFont="1" applyFill="1" applyBorder="1" applyAlignment="1">
      <alignment horizontal="center"/>
    </xf>
    <xf numFmtId="190" fontId="16" fillId="4" borderId="0" xfId="0" applyNumberFormat="1" applyFont="1" applyFill="1" applyAlignment="1">
      <alignment horizontal="center"/>
    </xf>
    <xf numFmtId="0" fontId="9" fillId="4" borderId="1" xfId="0" applyFont="1" applyFill="1" applyBorder="1"/>
    <xf numFmtId="0" fontId="10" fillId="2" borderId="1" xfId="0" applyFont="1" applyFill="1" applyBorder="1"/>
    <xf numFmtId="189" fontId="15" fillId="4" borderId="22" xfId="0" applyNumberFormat="1" applyFont="1" applyFill="1" applyBorder="1" applyAlignment="1">
      <alignment horizontal="left"/>
    </xf>
    <xf numFmtId="189" fontId="20" fillId="4" borderId="10" xfId="0" applyNumberFormat="1" applyFont="1" applyFill="1" applyBorder="1" applyAlignment="1">
      <alignment horizontal="center"/>
    </xf>
    <xf numFmtId="189" fontId="15" fillId="4" borderId="23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2" fontId="15" fillId="4" borderId="22" xfId="0" applyNumberFormat="1" applyFont="1" applyFill="1" applyBorder="1" applyAlignment="1">
      <alignment horizontal="left"/>
    </xf>
    <xf numFmtId="2" fontId="15" fillId="4" borderId="2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4" fontId="15" fillId="4" borderId="22" xfId="0" applyNumberFormat="1" applyFont="1" applyFill="1" applyBorder="1" applyAlignment="1">
      <alignment horizontal="left"/>
    </xf>
    <xf numFmtId="4" fontId="15" fillId="4" borderId="23" xfId="0" applyNumberFormat="1" applyFont="1" applyFill="1" applyBorder="1" applyAlignment="1">
      <alignment horizontal="right"/>
    </xf>
    <xf numFmtId="0" fontId="3" fillId="4" borderId="24" xfId="0" applyFont="1" applyFill="1" applyBorder="1" applyAlignment="1">
      <alignment horizontal="center"/>
    </xf>
    <xf numFmtId="191" fontId="15" fillId="4" borderId="22" xfId="0" applyNumberFormat="1" applyFont="1" applyFill="1" applyBorder="1" applyAlignment="1">
      <alignment horizontal="left"/>
    </xf>
    <xf numFmtId="191" fontId="15" fillId="4" borderId="23" xfId="0" applyNumberFormat="1" applyFont="1" applyFill="1" applyBorder="1" applyAlignment="1">
      <alignment horizontal="right"/>
    </xf>
    <xf numFmtId="190" fontId="15" fillId="4" borderId="22" xfId="0" applyNumberFormat="1" applyFont="1" applyFill="1" applyBorder="1" applyAlignment="1">
      <alignment horizontal="left"/>
    </xf>
    <xf numFmtId="190" fontId="15" fillId="4" borderId="23" xfId="0" applyNumberFormat="1" applyFont="1" applyFill="1" applyBorder="1" applyAlignment="1">
      <alignment horizontal="right"/>
    </xf>
    <xf numFmtId="190" fontId="15" fillId="4" borderId="25" xfId="0" applyNumberFormat="1" applyFont="1" applyFill="1" applyBorder="1" applyAlignment="1">
      <alignment horizontal="left"/>
    </xf>
    <xf numFmtId="190" fontId="15" fillId="4" borderId="21" xfId="0" applyNumberFormat="1" applyFont="1" applyFill="1" applyBorder="1" applyAlignment="1">
      <alignment horizontal="right"/>
    </xf>
    <xf numFmtId="0" fontId="3" fillId="4" borderId="26" xfId="0" applyFont="1" applyFill="1" applyBorder="1" applyAlignment="1">
      <alignment horizontal="center"/>
    </xf>
    <xf numFmtId="189" fontId="19" fillId="4" borderId="27" xfId="0" applyNumberFormat="1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4" fontId="15" fillId="4" borderId="27" xfId="0" applyNumberFormat="1" applyFont="1" applyFill="1" applyBorder="1" applyAlignment="1">
      <alignment horizontal="center"/>
    </xf>
    <xf numFmtId="4" fontId="3" fillId="4" borderId="26" xfId="0" applyNumberFormat="1" applyFont="1" applyFill="1" applyBorder="1" applyAlignment="1">
      <alignment horizontal="center"/>
    </xf>
    <xf numFmtId="4" fontId="3" fillId="4" borderId="28" xfId="0" applyNumberFormat="1" applyFont="1" applyFill="1" applyBorder="1" applyAlignment="1">
      <alignment horizontal="center"/>
    </xf>
    <xf numFmtId="191" fontId="15" fillId="4" borderId="27" xfId="0" applyNumberFormat="1" applyFont="1" applyFill="1" applyBorder="1" applyAlignment="1">
      <alignment horizontal="center"/>
    </xf>
    <xf numFmtId="190" fontId="15" fillId="4" borderId="27" xfId="0" applyNumberFormat="1" applyFont="1" applyFill="1" applyBorder="1" applyAlignment="1">
      <alignment horizontal="center"/>
    </xf>
    <xf numFmtId="4" fontId="3" fillId="4" borderId="29" xfId="0" applyNumberFormat="1" applyFont="1" applyFill="1" applyBorder="1" applyAlignment="1">
      <alignment horizontal="center"/>
    </xf>
    <xf numFmtId="190" fontId="15" fillId="4" borderId="30" xfId="0" applyNumberFormat="1" applyFont="1" applyFill="1" applyBorder="1" applyAlignment="1">
      <alignment horizontal="center"/>
    </xf>
    <xf numFmtId="4" fontId="3" fillId="4" borderId="31" xfId="0" applyNumberFormat="1" applyFont="1" applyFill="1" applyBorder="1" applyAlignment="1">
      <alignment horizontal="center"/>
    </xf>
    <xf numFmtId="0" fontId="3" fillId="4" borderId="32" xfId="0" applyFont="1" applyFill="1" applyBorder="1"/>
    <xf numFmtId="11" fontId="9" fillId="4" borderId="33" xfId="0" applyNumberFormat="1" applyFont="1" applyFill="1" applyBorder="1" applyAlignment="1">
      <alignment horizontal="center"/>
    </xf>
    <xf numFmtId="190" fontId="15" fillId="4" borderId="34" xfId="0" applyNumberFormat="1" applyFont="1" applyFill="1" applyBorder="1" applyAlignment="1">
      <alignment horizontal="center"/>
    </xf>
    <xf numFmtId="11" fontId="9" fillId="4" borderId="35" xfId="0" applyNumberFormat="1" applyFont="1" applyFill="1" applyBorder="1" applyAlignment="1">
      <alignment horizontal="center"/>
    </xf>
    <xf numFmtId="4" fontId="15" fillId="4" borderId="34" xfId="0" applyNumberFormat="1" applyFont="1" applyFill="1" applyBorder="1" applyAlignment="1">
      <alignment horizontal="center"/>
    </xf>
    <xf numFmtId="4" fontId="9" fillId="4" borderId="33" xfId="0" applyNumberFormat="1" applyFont="1" applyFill="1" applyBorder="1" applyAlignment="1">
      <alignment horizontal="center"/>
    </xf>
    <xf numFmtId="4" fontId="9" fillId="4" borderId="35" xfId="0" applyNumberFormat="1" applyFont="1" applyFill="1" applyBorder="1" applyAlignment="1">
      <alignment horizontal="center"/>
    </xf>
    <xf numFmtId="191" fontId="15" fillId="4" borderId="34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/>
    <xf numFmtId="189" fontId="16" fillId="4" borderId="10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192" fontId="11" fillId="0" borderId="0" xfId="0" applyNumberFormat="1" applyFont="1" applyAlignment="1">
      <alignment horizontal="center"/>
    </xf>
    <xf numFmtId="2" fontId="11" fillId="4" borderId="1" xfId="0" applyNumberFormat="1" applyFont="1" applyFill="1" applyBorder="1" applyAlignment="1">
      <alignment horizontal="center"/>
    </xf>
    <xf numFmtId="189" fontId="15" fillId="4" borderId="27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189" fontId="11" fillId="0" borderId="0" xfId="0" applyNumberFormat="1" applyFont="1" applyAlignment="1">
      <alignment horizontal="center"/>
    </xf>
    <xf numFmtId="189" fontId="23" fillId="0" borderId="0" xfId="0" applyNumberFormat="1" applyFont="1" applyAlignment="1">
      <alignment horizontal="center"/>
    </xf>
    <xf numFmtId="0" fontId="16" fillId="0" borderId="0" xfId="0" applyFont="1"/>
    <xf numFmtId="189" fontId="24" fillId="0" borderId="0" xfId="0" applyNumberFormat="1" applyFont="1" applyAlignment="1">
      <alignment horizontal="center"/>
    </xf>
    <xf numFmtId="11" fontId="9" fillId="4" borderId="39" xfId="0" applyNumberFormat="1" applyFont="1" applyFill="1" applyBorder="1" applyAlignment="1">
      <alignment horizontal="center"/>
    </xf>
    <xf numFmtId="190" fontId="15" fillId="4" borderId="1" xfId="0" applyNumberFormat="1" applyFont="1" applyFill="1" applyBorder="1" applyAlignment="1">
      <alignment horizontal="center"/>
    </xf>
    <xf numFmtId="11" fontId="9" fillId="4" borderId="23" xfId="0" applyNumberFormat="1" applyFont="1" applyFill="1" applyBorder="1" applyAlignment="1">
      <alignment horizontal="center"/>
    </xf>
    <xf numFmtId="11" fontId="9" fillId="4" borderId="40" xfId="0" applyNumberFormat="1" applyFont="1" applyFill="1" applyBorder="1" applyAlignment="1">
      <alignment horizontal="center"/>
    </xf>
    <xf numFmtId="4" fontId="9" fillId="4" borderId="40" xfId="0" applyNumberFormat="1" applyFont="1" applyFill="1" applyBorder="1" applyAlignment="1">
      <alignment horizontal="center"/>
    </xf>
    <xf numFmtId="11" fontId="9" fillId="4" borderId="41" xfId="0" applyNumberFormat="1" applyFont="1" applyFill="1" applyBorder="1" applyAlignment="1">
      <alignment horizontal="center"/>
    </xf>
    <xf numFmtId="189" fontId="3" fillId="4" borderId="42" xfId="0" applyNumberFormat="1" applyFont="1" applyFill="1" applyBorder="1" applyAlignment="1">
      <alignment horizontal="center"/>
    </xf>
    <xf numFmtId="189" fontId="15" fillId="4" borderId="39" xfId="0" applyNumberFormat="1" applyFont="1" applyFill="1" applyBorder="1" applyAlignment="1">
      <alignment horizontal="left"/>
    </xf>
    <xf numFmtId="4" fontId="15" fillId="4" borderId="39" xfId="0" applyNumberFormat="1" applyFont="1" applyFill="1" applyBorder="1" applyAlignment="1">
      <alignment horizontal="left"/>
    </xf>
    <xf numFmtId="0" fontId="3" fillId="4" borderId="43" xfId="0" applyFont="1" applyFill="1" applyBorder="1" applyAlignment="1">
      <alignment horizontal="center"/>
    </xf>
    <xf numFmtId="191" fontId="15" fillId="4" borderId="39" xfId="0" applyNumberFormat="1" applyFont="1" applyFill="1" applyBorder="1" applyAlignment="1">
      <alignment horizontal="left"/>
    </xf>
    <xf numFmtId="190" fontId="15" fillId="4" borderId="39" xfId="0" applyNumberFormat="1" applyFont="1" applyFill="1" applyBorder="1" applyAlignment="1">
      <alignment horizontal="left"/>
    </xf>
    <xf numFmtId="0" fontId="3" fillId="4" borderId="4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4" fontId="3" fillId="4" borderId="44" xfId="0" applyNumberFormat="1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189" fontId="15" fillId="4" borderId="46" xfId="0" applyNumberFormat="1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4" fontId="15" fillId="4" borderId="46" xfId="0" applyNumberFormat="1" applyFont="1" applyFill="1" applyBorder="1" applyAlignment="1">
      <alignment horizontal="center"/>
    </xf>
    <xf numFmtId="4" fontId="3" fillId="4" borderId="45" xfId="0" applyNumberFormat="1" applyFont="1" applyFill="1" applyBorder="1" applyAlignment="1">
      <alignment horizontal="center"/>
    </xf>
    <xf numFmtId="4" fontId="3" fillId="4" borderId="47" xfId="0" applyNumberFormat="1" applyFont="1" applyFill="1" applyBorder="1" applyAlignment="1">
      <alignment horizontal="center"/>
    </xf>
    <xf numFmtId="191" fontId="15" fillId="4" borderId="46" xfId="0" applyNumberFormat="1" applyFont="1" applyFill="1" applyBorder="1" applyAlignment="1">
      <alignment horizontal="center"/>
    </xf>
    <xf numFmtId="190" fontId="15" fillId="4" borderId="46" xfId="0" applyNumberFormat="1" applyFont="1" applyFill="1" applyBorder="1" applyAlignment="1">
      <alignment horizontal="center"/>
    </xf>
    <xf numFmtId="11" fontId="9" fillId="4" borderId="48" xfId="0" applyNumberFormat="1" applyFont="1" applyFill="1" applyBorder="1" applyAlignment="1">
      <alignment horizontal="center"/>
    </xf>
    <xf numFmtId="4" fontId="9" fillId="4" borderId="48" xfId="0" applyNumberFormat="1" applyFont="1" applyFill="1" applyBorder="1" applyAlignment="1">
      <alignment horizontal="center"/>
    </xf>
    <xf numFmtId="11" fontId="9" fillId="4" borderId="49" xfId="0" applyNumberFormat="1" applyFont="1" applyFill="1" applyBorder="1" applyAlignment="1">
      <alignment horizontal="center"/>
    </xf>
    <xf numFmtId="4" fontId="9" fillId="4" borderId="49" xfId="0" applyNumberFormat="1" applyFont="1" applyFill="1" applyBorder="1" applyAlignment="1">
      <alignment horizontal="center"/>
    </xf>
    <xf numFmtId="189" fontId="3" fillId="4" borderId="1" xfId="0" applyNumberFormat="1" applyFont="1" applyFill="1" applyBorder="1" applyAlignment="1">
      <alignment horizontal="center"/>
    </xf>
    <xf numFmtId="189" fontId="15" fillId="4" borderId="50" xfId="0" applyNumberFormat="1" applyFont="1" applyFill="1" applyBorder="1" applyAlignment="1">
      <alignment horizontal="right"/>
    </xf>
    <xf numFmtId="4" fontId="15" fillId="4" borderId="50" xfId="0" applyNumberFormat="1" applyFont="1" applyFill="1" applyBorder="1" applyAlignment="1">
      <alignment horizontal="right"/>
    </xf>
    <xf numFmtId="191" fontId="15" fillId="4" borderId="50" xfId="0" applyNumberFormat="1" applyFont="1" applyFill="1" applyBorder="1" applyAlignment="1">
      <alignment horizontal="right"/>
    </xf>
    <xf numFmtId="190" fontId="15" fillId="4" borderId="50" xfId="0" applyNumberFormat="1" applyFont="1" applyFill="1" applyBorder="1" applyAlignment="1">
      <alignment horizontal="right"/>
    </xf>
    <xf numFmtId="0" fontId="3" fillId="4" borderId="51" xfId="0" applyFont="1" applyFill="1" applyBorder="1" applyAlignment="1">
      <alignment horizontal="center"/>
    </xf>
    <xf numFmtId="4" fontId="3" fillId="4" borderId="51" xfId="0" applyNumberFormat="1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4" fontId="3" fillId="4" borderId="52" xfId="0" applyNumberFormat="1" applyFont="1" applyFill="1" applyBorder="1" applyAlignment="1">
      <alignment horizontal="center"/>
    </xf>
    <xf numFmtId="4" fontId="3" fillId="4" borderId="53" xfId="0" applyNumberFormat="1" applyFont="1" applyFill="1" applyBorder="1" applyAlignment="1">
      <alignment horizontal="center"/>
    </xf>
    <xf numFmtId="11" fontId="9" fillId="4" borderId="54" xfId="0" applyNumberFormat="1" applyFont="1" applyFill="1" applyBorder="1" applyAlignment="1">
      <alignment horizontal="center"/>
    </xf>
    <xf numFmtId="4" fontId="9" fillId="4" borderId="54" xfId="0" applyNumberFormat="1" applyFont="1" applyFill="1" applyBorder="1" applyAlignment="1">
      <alignment horizontal="center"/>
    </xf>
    <xf numFmtId="189" fontId="3" fillId="4" borderId="14" xfId="0" applyNumberFormat="1" applyFont="1" applyFill="1" applyBorder="1" applyAlignment="1">
      <alignment horizontal="center"/>
    </xf>
    <xf numFmtId="1" fontId="3" fillId="0" borderId="0" xfId="0" applyNumberFormat="1" applyFont="1" applyAlignment="1"/>
    <xf numFmtId="2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189" fontId="3" fillId="2" borderId="0" xfId="0" applyNumberFormat="1" applyFont="1" applyFill="1" applyAlignment="1">
      <alignment horizontal="right"/>
    </xf>
    <xf numFmtId="0" fontId="25" fillId="0" borderId="0" xfId="0" applyFont="1" applyAlignment="1">
      <alignment horizontal="center"/>
    </xf>
    <xf numFmtId="189" fontId="3" fillId="3" borderId="0" xfId="0" applyNumberFormat="1" applyFont="1" applyFill="1"/>
    <xf numFmtId="189" fontId="3" fillId="2" borderId="0" xfId="0" applyNumberFormat="1" applyFont="1" applyFill="1" applyAlignment="1"/>
    <xf numFmtId="189" fontId="3" fillId="0" borderId="0" xfId="0" applyNumberFormat="1" applyFont="1" applyAlignment="1">
      <alignment horizontal="right"/>
    </xf>
    <xf numFmtId="0" fontId="11" fillId="4" borderId="0" xfId="0" applyFont="1" applyFill="1" applyAlignment="1"/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89" fontId="3" fillId="3" borderId="0" xfId="0" applyNumberFormat="1" applyFont="1" applyFill="1" applyAlignment="1">
      <alignment horizontal="right"/>
    </xf>
    <xf numFmtId="189" fontId="11" fillId="4" borderId="1" xfId="0" applyNumberFormat="1" applyFont="1" applyFill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26" fillId="0" borderId="0" xfId="0" applyFont="1" applyAlignment="1"/>
    <xf numFmtId="189" fontId="3" fillId="3" borderId="0" xfId="0" applyNumberFormat="1" applyFont="1" applyFill="1" applyAlignment="1">
      <alignment horizontal="right"/>
    </xf>
    <xf numFmtId="189" fontId="3" fillId="3" borderId="1" xfId="0" applyNumberFormat="1" applyFont="1" applyFill="1" applyBorder="1" applyAlignment="1">
      <alignment horizontal="right"/>
    </xf>
    <xf numFmtId="189" fontId="3" fillId="3" borderId="1" xfId="0" applyNumberFormat="1" applyFont="1" applyFill="1" applyBorder="1" applyAlignment="1">
      <alignment horizontal="right"/>
    </xf>
    <xf numFmtId="0" fontId="27" fillId="4" borderId="0" xfId="0" applyFont="1" applyFill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18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9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9" fontId="3" fillId="2" borderId="1" xfId="0" applyNumberFormat="1" applyFont="1" applyFill="1" applyBorder="1" applyAlignment="1"/>
    <xf numFmtId="2" fontId="3" fillId="2" borderId="1" xfId="0" applyNumberFormat="1" applyFont="1" applyFill="1" applyBorder="1"/>
    <xf numFmtId="189" fontId="3" fillId="3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87" fontId="11" fillId="4" borderId="1" xfId="0" applyNumberFormat="1" applyFont="1" applyFill="1" applyBorder="1"/>
    <xf numFmtId="2" fontId="11" fillId="4" borderId="1" xfId="0" applyNumberFormat="1" applyFont="1" applyFill="1" applyBorder="1"/>
    <xf numFmtId="2" fontId="11" fillId="4" borderId="1" xfId="0" applyNumberFormat="1" applyFont="1" applyFill="1" applyBorder="1" applyAlignment="1"/>
    <xf numFmtId="0" fontId="12" fillId="4" borderId="1" xfId="0" applyFont="1" applyFill="1" applyBorder="1"/>
    <xf numFmtId="0" fontId="12" fillId="4" borderId="1" xfId="0" applyFont="1" applyFill="1" applyBorder="1" applyAlignment="1"/>
    <xf numFmtId="0" fontId="9" fillId="0" borderId="0" xfId="0" applyFont="1" applyAlignment="1">
      <alignment horizontal="center"/>
    </xf>
    <xf numFmtId="0" fontId="9" fillId="0" borderId="0" xfId="0" applyFont="1"/>
    <xf numFmtId="189" fontId="11" fillId="4" borderId="1" xfId="0" applyNumberFormat="1" applyFont="1" applyFill="1" applyBorder="1"/>
    <xf numFmtId="1" fontId="11" fillId="4" borderId="1" xfId="0" applyNumberFormat="1" applyFont="1" applyFill="1" applyBorder="1"/>
    <xf numFmtId="2" fontId="11" fillId="2" borderId="1" xfId="0" applyNumberFormat="1" applyFont="1" applyFill="1" applyBorder="1" applyAlignment="1"/>
    <xf numFmtId="189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189" fontId="5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89" fontId="5" fillId="0" borderId="0" xfId="0" applyNumberFormat="1" applyFont="1" applyAlignment="1"/>
    <xf numFmtId="1" fontId="5" fillId="0" borderId="0" xfId="0" applyNumberFormat="1" applyFont="1"/>
    <xf numFmtId="189" fontId="11" fillId="3" borderId="1" xfId="0" applyNumberFormat="1" applyFont="1" applyFill="1" applyBorder="1"/>
    <xf numFmtId="0" fontId="28" fillId="4" borderId="1" xfId="0" applyFont="1" applyFill="1" applyBorder="1"/>
    <xf numFmtId="193" fontId="9" fillId="0" borderId="0" xfId="0" applyNumberFormat="1" applyFont="1" applyAlignment="1"/>
    <xf numFmtId="2" fontId="3" fillId="3" borderId="1" xfId="0" applyNumberFormat="1" applyFont="1" applyFill="1" applyBorder="1"/>
    <xf numFmtId="1" fontId="11" fillId="0" borderId="0" xfId="0" applyNumberFormat="1" applyFont="1" applyAlignment="1"/>
    <xf numFmtId="192" fontId="3" fillId="3" borderId="0" xfId="0" applyNumberFormat="1" applyFont="1" applyFill="1"/>
    <xf numFmtId="189" fontId="9" fillId="0" borderId="0" xfId="0" applyNumberFormat="1" applyFont="1" applyAlignment="1">
      <alignment horizontal="center"/>
    </xf>
    <xf numFmtId="193" fontId="3" fillId="0" borderId="0" xfId="0" applyNumberFormat="1" applyFont="1" applyAlignment="1">
      <alignment horizontal="center"/>
    </xf>
    <xf numFmtId="189" fontId="29" fillId="0" borderId="0" xfId="0" applyNumberFormat="1" applyFont="1" applyAlignment="1">
      <alignment horizontal="center"/>
    </xf>
    <xf numFmtId="192" fontId="3" fillId="3" borderId="1" xfId="0" applyNumberFormat="1" applyFont="1" applyFill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1" fontId="3" fillId="4" borderId="1" xfId="0" applyNumberFormat="1" applyFont="1" applyFill="1" applyBorder="1"/>
    <xf numFmtId="189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0" fillId="0" borderId="0" xfId="0" applyFont="1" applyAlignment="1"/>
    <xf numFmtId="0" fontId="5" fillId="0" borderId="0" xfId="0" applyFont="1" applyAlignment="1">
      <alignment horizontal="left"/>
    </xf>
    <xf numFmtId="189" fontId="9" fillId="0" borderId="0" xfId="0" applyNumberFormat="1" applyFont="1" applyAlignment="1">
      <alignment horizontal="center"/>
    </xf>
    <xf numFmtId="189" fontId="3" fillId="5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2" borderId="1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87" fontId="3" fillId="3" borderId="0" xfId="0" applyNumberFormat="1" applyFont="1" applyFill="1" applyAlignment="1">
      <alignment horizontal="center"/>
    </xf>
    <xf numFmtId="0" fontId="17" fillId="0" borderId="0" xfId="0" applyFont="1" applyAlignment="1">
      <alignment horizontal="right"/>
    </xf>
    <xf numFmtId="189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1" fillId="0" borderId="0" xfId="0" applyFont="1" applyAlignment="1"/>
    <xf numFmtId="0" fontId="3" fillId="6" borderId="0" xfId="0" applyFont="1" applyFill="1" applyAlignment="1">
      <alignment horizontal="right"/>
    </xf>
    <xf numFmtId="189" fontId="3" fillId="6" borderId="0" xfId="0" applyNumberFormat="1" applyFont="1" applyFill="1" applyAlignment="1">
      <alignment horizontal="center"/>
    </xf>
    <xf numFmtId="0" fontId="3" fillId="6" borderId="0" xfId="0" applyFont="1" applyFill="1" applyAlignment="1"/>
    <xf numFmtId="0" fontId="5" fillId="6" borderId="0" xfId="0" applyFont="1" applyFill="1" applyAlignment="1"/>
    <xf numFmtId="0" fontId="5" fillId="6" borderId="0" xfId="0" applyFont="1" applyFill="1"/>
    <xf numFmtId="0" fontId="3" fillId="6" borderId="0" xfId="0" applyFont="1" applyFill="1"/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189" fontId="3" fillId="6" borderId="0" xfId="0" applyNumberFormat="1" applyFont="1" applyFill="1" applyAlignment="1">
      <alignment horizontal="right"/>
    </xf>
    <xf numFmtId="0" fontId="25" fillId="6" borderId="0" xfId="0" applyFont="1" applyFill="1" applyAlignment="1">
      <alignment horizontal="center"/>
    </xf>
    <xf numFmtId="189" fontId="3" fillId="0" borderId="0" xfId="0" applyNumberFormat="1" applyFont="1" applyAlignment="1"/>
    <xf numFmtId="0" fontId="11" fillId="0" borderId="0" xfId="0" applyFont="1" applyAlignment="1"/>
    <xf numFmtId="189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89" fontId="3" fillId="0" borderId="1" xfId="0" applyNumberFormat="1" applyFont="1" applyBorder="1" applyAlignment="1">
      <alignment horizontal="right"/>
    </xf>
    <xf numFmtId="189" fontId="3" fillId="0" borderId="1" xfId="0" applyNumberFormat="1" applyFont="1" applyBorder="1" applyAlignment="1">
      <alignment horizontal="right"/>
    </xf>
    <xf numFmtId="0" fontId="9" fillId="5" borderId="0" xfId="0" applyFont="1" applyFill="1" applyAlignment="1"/>
    <xf numFmtId="0" fontId="32" fillId="0" borderId="0" xfId="0" applyFont="1" applyAlignment="1"/>
    <xf numFmtId="0" fontId="29" fillId="0" borderId="0" xfId="0" applyFont="1"/>
    <xf numFmtId="2" fontId="3" fillId="2" borderId="0" xfId="0" applyNumberFormat="1" applyFont="1" applyFill="1" applyAlignment="1"/>
    <xf numFmtId="0" fontId="29" fillId="0" borderId="0" xfId="0" applyFont="1" applyAlignment="1">
      <alignment horizontal="right"/>
    </xf>
    <xf numFmtId="0" fontId="29" fillId="2" borderId="0" xfId="0" applyFont="1" applyFill="1" applyAlignment="1"/>
    <xf numFmtId="0" fontId="29" fillId="0" borderId="0" xfId="0" applyFont="1" applyAlignment="1"/>
    <xf numFmtId="0" fontId="3" fillId="3" borderId="0" xfId="0" applyFont="1" applyFill="1"/>
    <xf numFmtId="0" fontId="17" fillId="3" borderId="0" xfId="0" applyFont="1" applyFill="1"/>
    <xf numFmtId="2" fontId="3" fillId="3" borderId="0" xfId="0" applyNumberFormat="1" applyFont="1" applyFill="1"/>
    <xf numFmtId="189" fontId="3" fillId="0" borderId="0" xfId="0" applyNumberFormat="1" applyFont="1" applyAlignment="1">
      <alignment horizontal="center"/>
    </xf>
    <xf numFmtId="0" fontId="33" fillId="4" borderId="0" xfId="0" applyFont="1" applyFill="1" applyAlignment="1"/>
    <xf numFmtId="189" fontId="11" fillId="4" borderId="0" xfId="0" applyNumberFormat="1" applyFont="1" applyFill="1"/>
    <xf numFmtId="0" fontId="3" fillId="3" borderId="0" xfId="0" applyFont="1" applyFill="1" applyAlignment="1"/>
    <xf numFmtId="2" fontId="3" fillId="3" borderId="0" xfId="0" applyNumberFormat="1" applyFont="1" applyFill="1" applyAlignme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92" fontId="3" fillId="0" borderId="0" xfId="0" applyNumberFormat="1" applyFont="1"/>
    <xf numFmtId="189" fontId="3" fillId="3" borderId="0" xfId="0" applyNumberFormat="1" applyFont="1" applyFill="1" applyAlignment="1"/>
    <xf numFmtId="0" fontId="34" fillId="4" borderId="0" xfId="0" applyFont="1" applyFill="1" applyAlignment="1"/>
    <xf numFmtId="0" fontId="35" fillId="4" borderId="0" xfId="0" applyFont="1" applyFill="1" applyAlignment="1"/>
    <xf numFmtId="0" fontId="0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Font="1" applyAlignment="1"/>
    <xf numFmtId="11" fontId="3" fillId="4" borderId="36" xfId="0" applyNumberFormat="1" applyFont="1" applyFill="1" applyBorder="1" applyAlignment="1">
      <alignment horizontal="center"/>
    </xf>
    <xf numFmtId="0" fontId="22" fillId="0" borderId="37" xfId="0" applyFont="1" applyBorder="1"/>
    <xf numFmtId="0" fontId="22" fillId="0" borderId="38" xfId="0" applyFont="1" applyBorder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7149</xdr:colOff>
      <xdr:row>225</xdr:row>
      <xdr:rowOff>176213</xdr:rowOff>
    </xdr:from>
    <xdr:ext cx="5610225" cy="7839075"/>
    <xdr:pic>
      <xdr:nvPicPr>
        <xdr:cNvPr id="3" name="image1.png" title="ภาพ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12774" y="45646182"/>
          <a:ext cx="5610225" cy="7839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sq.cm/m" TargetMode="External"/><Relationship Id="rId1" Type="http://schemas.openxmlformats.org/officeDocument/2006/relationships/hyperlink" Target="http://sq.cm/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V1054"/>
  <sheetViews>
    <sheetView tabSelected="1" zoomScaleNormal="100" workbookViewId="0">
      <selection activeCell="Q19" sqref="Q19"/>
    </sheetView>
  </sheetViews>
  <sheetFormatPr defaultColWidth="14.42578125" defaultRowHeight="15" customHeight="1"/>
  <cols>
    <col min="1" max="1" width="26" customWidth="1"/>
    <col min="2" max="2" width="12.7109375" customWidth="1"/>
    <col min="3" max="3" width="13" customWidth="1"/>
    <col min="4" max="4" width="13.140625" customWidth="1"/>
    <col min="5" max="5" width="17.42578125" customWidth="1"/>
    <col min="6" max="6" width="21" customWidth="1"/>
    <col min="7" max="7" width="12" customWidth="1"/>
    <col min="8" max="8" width="13.140625" customWidth="1"/>
    <col min="9" max="9" width="16.140625" customWidth="1"/>
    <col min="10" max="10" width="10" customWidth="1"/>
    <col min="11" max="11" width="11" customWidth="1"/>
    <col min="12" max="12" width="9.28515625" customWidth="1"/>
    <col min="13" max="13" width="14.5703125" customWidth="1"/>
    <col min="14" max="14" width="15.85546875" customWidth="1"/>
    <col min="15" max="15" width="13.5703125" customWidth="1"/>
    <col min="16" max="16" width="10.7109375" customWidth="1"/>
    <col min="17" max="17" width="11.85546875" customWidth="1"/>
    <col min="18" max="18" width="10" customWidth="1"/>
    <col min="19" max="19" width="11.7109375" customWidth="1"/>
    <col min="20" max="20" width="6.85546875" customWidth="1"/>
    <col min="21" max="21" width="10.28515625" customWidth="1"/>
    <col min="22" max="22" width="10.7109375" customWidth="1"/>
    <col min="23" max="23" width="8.7109375" customWidth="1"/>
    <col min="24" max="24" width="6.85546875" customWidth="1"/>
    <col min="25" max="25" width="7" customWidth="1"/>
    <col min="26" max="26" width="11.85546875" customWidth="1"/>
    <col min="27" max="27" width="9.140625" customWidth="1"/>
    <col min="28" max="28" width="9.42578125" customWidth="1"/>
    <col min="29" max="29" width="8.5703125" customWidth="1"/>
    <col min="30" max="30" width="9.140625" customWidth="1"/>
    <col min="31" max="31" width="8.140625" customWidth="1"/>
    <col min="32" max="32" width="6.28515625" customWidth="1"/>
    <col min="33" max="33" width="8" customWidth="1"/>
    <col min="34" max="34" width="10.5703125" customWidth="1"/>
    <col min="35" max="35" width="7.7109375" customWidth="1"/>
  </cols>
  <sheetData>
    <row r="1" spans="1:48" s="316" customFormat="1" ht="15" customHeight="1"/>
    <row r="2" spans="1:48" ht="15.75" customHeight="1">
      <c r="A2" s="323" t="s">
        <v>0</v>
      </c>
      <c r="B2" s="318"/>
      <c r="C2" s="1"/>
      <c r="D2" s="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15.75" customHeight="1">
      <c r="A3" s="324" t="s">
        <v>1</v>
      </c>
      <c r="B3" s="318"/>
      <c r="C3" s="318"/>
      <c r="D3" s="318"/>
      <c r="E3" s="3"/>
      <c r="F3" s="325" t="s">
        <v>2</v>
      </c>
      <c r="G3" s="6" t="s">
        <v>3</v>
      </c>
      <c r="H3" s="7"/>
      <c r="I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5.75" customHeight="1">
      <c r="A4" s="324" t="s">
        <v>4</v>
      </c>
      <c r="B4" s="318"/>
      <c r="C4" s="318"/>
      <c r="D4" s="318"/>
      <c r="E4" s="8"/>
      <c r="F4" s="6" t="s">
        <v>5</v>
      </c>
      <c r="G4" s="7"/>
      <c r="H4" s="7"/>
      <c r="I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  <c r="AL4" s="5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ht="15.75" customHeight="1">
      <c r="A5" s="317" t="s">
        <v>495</v>
      </c>
      <c r="B5" s="318"/>
      <c r="C5" s="10"/>
      <c r="D5" s="2"/>
      <c r="E5" s="8"/>
      <c r="F5" s="6" t="s">
        <v>6</v>
      </c>
      <c r="G5" s="7"/>
      <c r="H5" s="7"/>
      <c r="I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5"/>
      <c r="AL5" s="5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ht="15.75" customHeight="1">
      <c r="A6" s="11"/>
      <c r="B6" s="12"/>
      <c r="C6" s="10"/>
      <c r="D6" s="13"/>
      <c r="E6" s="9"/>
      <c r="F6" s="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5"/>
      <c r="AL6" s="5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5.75" customHeight="1">
      <c r="A7" s="11"/>
      <c r="B7" s="12"/>
      <c r="C7" s="12"/>
      <c r="D7" s="14"/>
      <c r="E7" s="317" t="s">
        <v>7</v>
      </c>
      <c r="F7" s="3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5"/>
      <c r="AL7" s="5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ht="15.75" customHeight="1">
      <c r="A8" s="11"/>
      <c r="B8" s="12"/>
      <c r="C8" s="12"/>
      <c r="D8" s="15"/>
      <c r="E8" s="317" t="s">
        <v>8</v>
      </c>
      <c r="F8" s="31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/>
      <c r="AL8" s="5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ht="15.75" customHeight="1">
      <c r="A9" s="16"/>
      <c r="B9" s="5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5"/>
      <c r="AL9" s="5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ht="15.75" customHeight="1">
      <c r="A10" s="16" t="s">
        <v>9</v>
      </c>
      <c r="B10" s="5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5"/>
      <c r="AL10" s="5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15.75" customHeight="1">
      <c r="A11" s="17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5"/>
      <c r="AK11" s="18"/>
      <c r="AL11" s="5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ht="15.75" customHeight="1">
      <c r="A12" s="19" t="s">
        <v>10</v>
      </c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  <c r="AK12" s="18"/>
      <c r="AL12" s="5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t="15.75" customHeight="1">
      <c r="A13" s="20" t="s">
        <v>11</v>
      </c>
      <c r="B13" s="21">
        <v>240</v>
      </c>
      <c r="C13" s="22" t="s">
        <v>12</v>
      </c>
      <c r="D13" s="4"/>
      <c r="E13" s="4"/>
      <c r="F13" s="4"/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"/>
      <c r="AK13" s="18"/>
      <c r="AL13" s="5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ht="15.75" customHeight="1">
      <c r="A14" s="24" t="s">
        <v>13</v>
      </c>
      <c r="B14" s="25"/>
      <c r="C14" s="25"/>
      <c r="D14" s="25"/>
      <c r="E14" s="26" t="s">
        <v>14</v>
      </c>
      <c r="F14" s="25"/>
      <c r="G14" s="25"/>
      <c r="H14" s="25"/>
      <c r="I14" s="27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7"/>
      <c r="AK14" s="28"/>
      <c r="AL14" s="27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ht="15.75" customHeight="1">
      <c r="A15" s="20" t="s">
        <v>15</v>
      </c>
      <c r="B15" s="21">
        <v>2400</v>
      </c>
      <c r="C15" s="22" t="s">
        <v>12</v>
      </c>
      <c r="D15" s="29"/>
      <c r="E15" s="23" t="s">
        <v>15</v>
      </c>
      <c r="F15" s="30">
        <v>3000</v>
      </c>
      <c r="G15" s="23" t="s">
        <v>12</v>
      </c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5"/>
      <c r="AK15" s="18"/>
      <c r="AL15" s="5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15.75" customHeight="1">
      <c r="A16" s="23"/>
      <c r="B16" s="4"/>
      <c r="C16" s="4"/>
      <c r="D16" s="4"/>
      <c r="E16" s="4"/>
      <c r="F16" s="4"/>
      <c r="G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"/>
      <c r="AK16" s="18"/>
      <c r="AL16" s="5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ht="15.75" customHeight="1">
      <c r="A17" s="19" t="s">
        <v>16</v>
      </c>
      <c r="B17" s="4"/>
      <c r="C17" s="4"/>
      <c r="D17" s="4"/>
      <c r="E17" s="4"/>
      <c r="F17" s="4"/>
      <c r="G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5"/>
      <c r="AK17" s="18"/>
      <c r="AL17" s="5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ht="18.75">
      <c r="A18" s="31" t="s">
        <v>17</v>
      </c>
      <c r="B18" s="32">
        <f>0.85*B13</f>
        <v>204</v>
      </c>
      <c r="C18" s="23" t="s">
        <v>12</v>
      </c>
      <c r="E18" s="4"/>
      <c r="F18" s="4"/>
      <c r="G18" s="4"/>
      <c r="H18" s="6" t="s">
        <v>18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15.75" customHeight="1">
      <c r="A19" s="31" t="s">
        <v>19</v>
      </c>
      <c r="B19" s="32">
        <f>IF(B13&lt;=280,0.85,0.85-0.05*((B13-280)/70))</f>
        <v>0.85</v>
      </c>
      <c r="C19" s="4"/>
      <c r="E19" s="4"/>
      <c r="F19" s="4"/>
      <c r="G19" s="4"/>
      <c r="H19" s="6" t="s">
        <v>20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5"/>
      <c r="AK19" s="18"/>
      <c r="AL19" s="5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15.75" customHeight="1">
      <c r="A20" s="31" t="s">
        <v>21</v>
      </c>
      <c r="B20" s="33">
        <f>B23*B15*(1-(0.5*B23*B15/B18))</f>
        <v>54.66164062499999</v>
      </c>
      <c r="C20" s="23" t="s">
        <v>12</v>
      </c>
      <c r="D20" s="4"/>
      <c r="H20" s="6" t="s">
        <v>22</v>
      </c>
      <c r="J20" s="34" t="s">
        <v>23</v>
      </c>
      <c r="K20" s="23" t="s">
        <v>24</v>
      </c>
      <c r="L20" s="4"/>
      <c r="M20" s="4"/>
      <c r="N20" s="35">
        <f>0.375*B19*B18*(1-0.1875*B19)</f>
        <v>54.66164062499999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/>
      <c r="AK20" s="18"/>
      <c r="AL20" s="5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ht="15.75" customHeight="1">
      <c r="A21" s="24" t="s">
        <v>13</v>
      </c>
      <c r="B21" s="25"/>
      <c r="C21" s="25"/>
      <c r="D21" s="25"/>
      <c r="E21" s="26" t="s">
        <v>14</v>
      </c>
      <c r="F21" s="25"/>
      <c r="G21" s="25"/>
      <c r="H21" s="27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7"/>
      <c r="AK21" s="28"/>
      <c r="AL21" s="27"/>
      <c r="AM21" s="25"/>
      <c r="AN21" s="25"/>
      <c r="AO21" s="25"/>
      <c r="AP21" s="25"/>
      <c r="AQ21" s="25"/>
      <c r="AR21" s="25"/>
      <c r="AS21" s="25"/>
      <c r="AT21" s="25"/>
      <c r="AU21" s="25"/>
      <c r="AV21" s="25"/>
    </row>
    <row r="22" spans="1:48" ht="15.75" customHeight="1">
      <c r="A22" s="31" t="s">
        <v>25</v>
      </c>
      <c r="B22" s="36">
        <f>B18*B19*6000/B15/(6000+fy)</f>
        <v>5.1607142857142858E-2</v>
      </c>
      <c r="C22" s="4"/>
      <c r="E22" s="31" t="s">
        <v>25</v>
      </c>
      <c r="F22" s="36">
        <f>B18*B19*6000/F15/(6000+F15)</f>
        <v>3.8533333333333336E-2</v>
      </c>
      <c r="G22" s="4"/>
      <c r="H22" s="6" t="s">
        <v>26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"/>
      <c r="AK22" s="18"/>
      <c r="AL22" s="5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15.75" customHeight="1">
      <c r="A23" s="31" t="s">
        <v>27</v>
      </c>
      <c r="B23" s="36">
        <f>0.375*B19*B18/B15</f>
        <v>2.7093749999999996E-2</v>
      </c>
      <c r="D23" s="6"/>
      <c r="E23" s="31" t="s">
        <v>27</v>
      </c>
      <c r="F23" s="37">
        <f>0.375*B19*B18/F15</f>
        <v>2.1674999999999996E-2</v>
      </c>
      <c r="H23" s="6" t="s">
        <v>28</v>
      </c>
      <c r="J23" s="4"/>
      <c r="K23" s="34"/>
      <c r="O23" s="3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"/>
      <c r="AK23" s="18"/>
      <c r="AL23" s="5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15.75" customHeight="1">
      <c r="A24" s="31" t="s">
        <v>29</v>
      </c>
      <c r="B24" s="36">
        <f>IF(B27&lt;=B28,B28,B27)</f>
        <v>5.8333333333333336E-3</v>
      </c>
      <c r="C24" s="4"/>
      <c r="E24" s="31" t="s">
        <v>29</v>
      </c>
      <c r="F24" s="36">
        <f>IF(F27&lt;=F28,F28,F27)</f>
        <v>4.6666666666666671E-3</v>
      </c>
      <c r="G24" s="4"/>
      <c r="H24" s="6" t="s">
        <v>30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/>
      <c r="AK24" s="18"/>
      <c r="AL24" s="5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15.75" customHeight="1">
      <c r="A25" s="31" t="s">
        <v>31</v>
      </c>
      <c r="B25" s="37">
        <v>2.5000000000000001E-3</v>
      </c>
      <c r="C25" s="4"/>
      <c r="E25" s="31" t="s">
        <v>31</v>
      </c>
      <c r="F25" s="36">
        <f>IF($F$15&lt;=3000,0.002,IF($F$15&lt;=4000,0.0018,IF($F$15&lt;=5000,0.0014)))</f>
        <v>2E-3</v>
      </c>
      <c r="G25" s="4"/>
      <c r="H25" s="2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"/>
      <c r="AK25" s="39"/>
      <c r="AL25" s="5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7" spans="1:48" ht="15.75" customHeight="1">
      <c r="A27" s="40" t="s">
        <v>32</v>
      </c>
      <c r="B27" s="41">
        <f>0.8*SQRT(B13)/B15</f>
        <v>5.1639777949432225E-3</v>
      </c>
      <c r="C27" s="42"/>
      <c r="D27" s="43"/>
      <c r="E27" s="40" t="s">
        <v>32</v>
      </c>
      <c r="F27" s="41">
        <f>0.8*SQRT(B13)/F15</f>
        <v>4.1311822359545785E-3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5"/>
      <c r="AK27" s="18"/>
      <c r="AL27" s="5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15.75" customHeight="1">
      <c r="A28" s="40" t="s">
        <v>33</v>
      </c>
      <c r="B28" s="44">
        <f>14/B15</f>
        <v>5.8333333333333336E-3</v>
      </c>
      <c r="C28" s="42"/>
      <c r="D28" s="43"/>
      <c r="E28" s="40" t="s">
        <v>33</v>
      </c>
      <c r="F28" s="41">
        <f>14/F15</f>
        <v>4.6666666666666671E-3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5"/>
      <c r="AK28" s="18"/>
      <c r="AL28" s="5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15.75" customHeight="1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  <c r="AK29" s="18"/>
      <c r="AL29" s="5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15.75" customHeight="1">
      <c r="A30" s="31" t="s">
        <v>34</v>
      </c>
      <c r="B30" s="33">
        <v>0.9</v>
      </c>
      <c r="C30" s="4"/>
      <c r="D30" s="6" t="s">
        <v>35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5"/>
      <c r="AK30" s="18"/>
      <c r="AL30" s="5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t="15.75" customHeight="1">
      <c r="A31" s="31" t="s">
        <v>36</v>
      </c>
      <c r="B31" s="23">
        <v>0.85</v>
      </c>
      <c r="C31" s="4"/>
      <c r="D31" s="6" t="s">
        <v>37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5"/>
      <c r="AK31" s="18"/>
      <c r="AL31" s="5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ht="15.75" customHeight="1">
      <c r="A32" s="31" t="s">
        <v>38</v>
      </c>
      <c r="B32" s="33">
        <v>0.7</v>
      </c>
      <c r="C32" s="4"/>
      <c r="D32" s="6" t="s">
        <v>39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5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ht="15.75" customHeight="1">
      <c r="A33" s="31" t="s">
        <v>40</v>
      </c>
      <c r="B33" s="30">
        <v>1.4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5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ht="15.75" customHeight="1">
      <c r="A34" s="31" t="s">
        <v>41</v>
      </c>
      <c r="B34" s="30">
        <v>1.7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5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ht="15.75" customHeight="1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5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ht="15.75" customHeight="1">
      <c r="A36" s="17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6" t="s">
        <v>43</v>
      </c>
      <c r="N36" s="23" t="s">
        <v>44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5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ht="15.75" customHeight="1">
      <c r="A37" s="47" t="s">
        <v>45</v>
      </c>
      <c r="B37" s="47"/>
      <c r="C37" s="48" t="s">
        <v>46</v>
      </c>
      <c r="D37" s="49">
        <v>9</v>
      </c>
      <c r="E37" s="20" t="s">
        <v>47</v>
      </c>
      <c r="F37" s="4"/>
      <c r="G37" s="4"/>
      <c r="H37" s="4"/>
      <c r="I37" s="50"/>
      <c r="J37" s="51" t="s">
        <v>48</v>
      </c>
      <c r="K37" s="52"/>
      <c r="L37" s="4"/>
      <c r="M37" s="53" t="s">
        <v>49</v>
      </c>
      <c r="N37" s="23" t="s">
        <v>50</v>
      </c>
      <c r="O37" s="4"/>
      <c r="P37" s="5"/>
      <c r="R37" s="5"/>
      <c r="S37" s="5"/>
      <c r="T37" s="5"/>
      <c r="U37" s="5"/>
      <c r="V37" s="5"/>
      <c r="W37" s="5"/>
      <c r="X37" s="5"/>
      <c r="Y37" s="54"/>
      <c r="Z37" s="55"/>
      <c r="AA37" s="5"/>
      <c r="AB37" s="4"/>
      <c r="AC37" s="31"/>
      <c r="AD37" s="4"/>
      <c r="AE37" s="23"/>
      <c r="AF37" s="56"/>
      <c r="AG37" s="5"/>
      <c r="AH37" s="18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ht="15.75" customHeight="1">
      <c r="A38" s="5" t="s">
        <v>51</v>
      </c>
      <c r="B38" s="4"/>
      <c r="C38" s="4"/>
      <c r="D38" s="57">
        <f>PI()*(D37/10)^2/4</f>
        <v>0.63617251235193317</v>
      </c>
      <c r="E38" s="58" t="s">
        <v>52</v>
      </c>
      <c r="F38" s="4"/>
      <c r="G38" s="4"/>
      <c r="H38" s="4"/>
      <c r="I38" s="59"/>
      <c r="J38" s="60" t="s">
        <v>49</v>
      </c>
      <c r="K38" s="61"/>
      <c r="L38" s="4"/>
      <c r="M38" s="46" t="s">
        <v>53</v>
      </c>
      <c r="N38" s="23" t="s">
        <v>54</v>
      </c>
      <c r="O38" s="4"/>
      <c r="P38" s="5"/>
      <c r="Q38" s="5"/>
      <c r="R38" s="5"/>
      <c r="S38" s="5"/>
      <c r="T38" s="5"/>
      <c r="U38" s="5"/>
      <c r="V38" s="5"/>
      <c r="W38" s="5"/>
      <c r="X38" s="5"/>
      <c r="Y38" s="4"/>
      <c r="Z38" s="4"/>
      <c r="AA38" s="45"/>
      <c r="AB38" s="45"/>
      <c r="AC38" s="4"/>
      <c r="AD38" s="4"/>
      <c r="AE38" s="4"/>
      <c r="AF38" s="4"/>
      <c r="AG38" s="45"/>
      <c r="AH38" s="45"/>
      <c r="AI38" s="18"/>
      <c r="AJ38" s="4"/>
      <c r="AK38" s="62"/>
      <c r="AL38" s="4"/>
      <c r="AM38" s="4"/>
      <c r="AN38" s="4"/>
      <c r="AO38" s="4"/>
      <c r="AP38" s="17"/>
      <c r="AQ38" s="4"/>
      <c r="AR38" s="63"/>
      <c r="AS38" s="4"/>
      <c r="AT38" s="4"/>
      <c r="AU38" s="4"/>
      <c r="AV38" s="4"/>
    </row>
    <row r="39" spans="1:48" ht="15.75" customHeight="1">
      <c r="A39" s="23"/>
      <c r="B39" s="4"/>
      <c r="C39" s="4"/>
      <c r="D39" s="4"/>
      <c r="E39" s="23"/>
      <c r="F39" s="4"/>
      <c r="G39" s="4"/>
      <c r="H39" s="4"/>
      <c r="I39" s="64" t="s">
        <v>55</v>
      </c>
      <c r="J39" s="60" t="s">
        <v>56</v>
      </c>
      <c r="K39" s="65" t="s">
        <v>57</v>
      </c>
      <c r="L39" s="4"/>
      <c r="M39" s="53" t="s">
        <v>56</v>
      </c>
      <c r="N39" s="23" t="s">
        <v>58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62"/>
      <c r="AL39" s="4"/>
      <c r="AM39" s="4"/>
      <c r="AN39" s="4"/>
      <c r="AO39" s="4"/>
      <c r="AP39" s="17"/>
      <c r="AQ39" s="4"/>
      <c r="AR39" s="63"/>
      <c r="AS39" s="4"/>
      <c r="AT39" s="4"/>
      <c r="AU39" s="4"/>
      <c r="AV39" s="4"/>
    </row>
    <row r="40" spans="1:48" ht="15.75" customHeight="1">
      <c r="A40" s="23" t="s">
        <v>59</v>
      </c>
      <c r="B40" s="4"/>
      <c r="C40" s="4"/>
      <c r="D40" s="4">
        <f>IF(C37="RB",B15,F15)</f>
        <v>2400</v>
      </c>
      <c r="E40" s="23" t="s">
        <v>12</v>
      </c>
      <c r="F40" s="4"/>
      <c r="G40" s="4"/>
      <c r="H40" s="4"/>
      <c r="I40" s="66"/>
      <c r="J40" s="67" t="s">
        <v>60</v>
      </c>
      <c r="K40" s="68"/>
      <c r="L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62"/>
      <c r="AL40" s="4"/>
      <c r="AM40" s="4"/>
      <c r="AN40" s="4"/>
      <c r="AO40" s="4"/>
      <c r="AP40" s="17"/>
      <c r="AQ40" s="4"/>
      <c r="AR40" s="63"/>
      <c r="AS40" s="4"/>
      <c r="AT40" s="4"/>
      <c r="AU40" s="4"/>
      <c r="AV40" s="4"/>
    </row>
    <row r="41" spans="1:48" ht="15.75" customHeight="1">
      <c r="A41" s="20" t="s">
        <v>61</v>
      </c>
      <c r="B41" s="20"/>
      <c r="C41" s="20"/>
      <c r="D41" s="49">
        <v>2.5</v>
      </c>
      <c r="E41" s="20" t="s">
        <v>62</v>
      </c>
      <c r="F41" s="4"/>
      <c r="G41" s="4"/>
      <c r="H41" s="4"/>
      <c r="I41" s="4"/>
      <c r="J41" s="4"/>
      <c r="K41" s="4"/>
      <c r="L41" s="4"/>
      <c r="M41" s="23" t="s">
        <v>63</v>
      </c>
      <c r="N41" s="54">
        <f>D50*D44^2</f>
        <v>8281</v>
      </c>
      <c r="O41" s="5" t="s">
        <v>64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18"/>
      <c r="AL41" s="4"/>
      <c r="AM41" s="4"/>
      <c r="AN41" s="4"/>
      <c r="AO41" s="4"/>
      <c r="AP41" s="4"/>
      <c r="AQ41" s="4"/>
      <c r="AR41" s="63"/>
      <c r="AS41" s="4"/>
      <c r="AT41" s="4"/>
      <c r="AU41" s="4"/>
      <c r="AV41" s="4"/>
    </row>
    <row r="42" spans="1:48" ht="15.75" customHeight="1">
      <c r="A42" s="20" t="s">
        <v>65</v>
      </c>
      <c r="B42" s="20"/>
      <c r="C42" s="20"/>
      <c r="D42" s="49">
        <v>200</v>
      </c>
      <c r="E42" s="69" t="s">
        <v>66</v>
      </c>
      <c r="F42" s="4"/>
      <c r="G42" s="4"/>
      <c r="H42" s="4"/>
      <c r="I42" s="47" t="s">
        <v>67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45"/>
      <c r="AC42" s="45"/>
      <c r="AD42" s="70" t="s">
        <v>68</v>
      </c>
      <c r="AE42" s="4"/>
      <c r="AF42" s="4"/>
      <c r="AG42" s="4"/>
      <c r="AH42" s="45"/>
      <c r="AI42" s="45"/>
      <c r="AJ42" s="4"/>
      <c r="AK42" s="71"/>
      <c r="AL42" s="4"/>
      <c r="AM42" s="4"/>
      <c r="AN42" s="4"/>
      <c r="AO42" s="4"/>
      <c r="AP42" s="4"/>
      <c r="AQ42" s="4"/>
      <c r="AR42" s="63"/>
      <c r="AS42" s="4"/>
      <c r="AT42" s="4"/>
      <c r="AU42" s="4"/>
      <c r="AV42" s="4"/>
    </row>
    <row r="43" spans="1:48" ht="15.75" customHeight="1">
      <c r="A43" s="20" t="s">
        <v>69</v>
      </c>
      <c r="B43" s="20"/>
      <c r="C43" s="20"/>
      <c r="D43" s="49">
        <v>0</v>
      </c>
      <c r="E43" s="69" t="s">
        <v>66</v>
      </c>
      <c r="F43" s="4"/>
      <c r="G43" s="4"/>
      <c r="H43" s="4"/>
      <c r="I43" s="45"/>
      <c r="J43" s="72" t="s">
        <v>70</v>
      </c>
      <c r="K43" s="45"/>
      <c r="L43" s="45"/>
      <c r="M43" s="45"/>
      <c r="N43" s="73" t="s">
        <v>71</v>
      </c>
      <c r="O43" s="45"/>
      <c r="P43" s="45"/>
      <c r="Q43" s="74"/>
      <c r="R43" s="75" t="s">
        <v>72</v>
      </c>
      <c r="S43" s="45"/>
      <c r="T43" s="45"/>
      <c r="U43" s="45"/>
      <c r="V43" s="73" t="s">
        <v>73</v>
      </c>
      <c r="W43" s="45"/>
      <c r="X43" s="45"/>
      <c r="Y43" s="45"/>
      <c r="Z43" s="73" t="s">
        <v>74</v>
      </c>
      <c r="AA43" s="45"/>
      <c r="AB43" s="18"/>
      <c r="AC43" s="45"/>
      <c r="AD43" s="76" t="s">
        <v>75</v>
      </c>
      <c r="AE43" s="77"/>
      <c r="AF43" s="5"/>
      <c r="AG43" s="45"/>
      <c r="AH43" s="72" t="s">
        <v>76</v>
      </c>
      <c r="AI43" s="45"/>
      <c r="AJ43" s="4"/>
      <c r="AK43" s="4"/>
      <c r="AL43" s="4"/>
      <c r="AM43" s="4"/>
      <c r="AN43" s="4"/>
      <c r="AO43" s="4"/>
      <c r="AP43" s="4"/>
      <c r="AQ43" s="4"/>
      <c r="AR43" s="63"/>
      <c r="AS43" s="4"/>
      <c r="AT43" s="4"/>
      <c r="AU43" s="4"/>
      <c r="AV43" s="4"/>
    </row>
    <row r="44" spans="1:48" ht="15.75" customHeight="1">
      <c r="A44" s="20" t="s">
        <v>77</v>
      </c>
      <c r="B44" s="20"/>
      <c r="C44" s="20"/>
      <c r="D44" s="49">
        <v>3.5</v>
      </c>
      <c r="E44" s="20" t="s">
        <v>78</v>
      </c>
      <c r="F44" s="4"/>
      <c r="G44" s="4"/>
      <c r="H44" s="4"/>
      <c r="I44" s="78"/>
      <c r="J44" s="79">
        <f>IF(D52&gt;0.5,1.8947716 - 10.4923074 * D52 + 23.3596158 * D52^ 2 - 24.3537997 *D52^ 3+ 10.2775488 *D52^ 4 + 0.4197035 *D52^ 5 - 1.0725337 *D52^ 6,IF(D52&lt;=0.5,0.083))</f>
        <v>4.9664079361021657E-2</v>
      </c>
      <c r="K44" s="80"/>
      <c r="L44" s="81"/>
      <c r="M44" s="78"/>
      <c r="N44" s="82">
        <f t="shared" ref="N44:N47" si="0">J44*$N$41</f>
        <v>411.26824118862032</v>
      </c>
      <c r="O44" s="80"/>
      <c r="P44" s="83"/>
      <c r="Q44" s="84"/>
      <c r="R44" s="82">
        <f t="shared" ref="R44:R45" si="1">N44/$B$30/$D$51^2</f>
        <v>8.123817109898674</v>
      </c>
      <c r="S44" s="85"/>
      <c r="T44" s="86"/>
      <c r="U44" s="84"/>
      <c r="V44" s="87">
        <f t="shared" ref="V44:V45" si="2">($B$18/$D$40)*(1-SQRT(1-2*R44/$B$18))</f>
        <v>3.45514758909971E-3</v>
      </c>
      <c r="W44" s="85"/>
      <c r="X44" s="86"/>
      <c r="Y44" s="84"/>
      <c r="Z44" s="88">
        <f t="shared" ref="Z44:Z45" si="3">V44*100*$D$51</f>
        <v>2.5913606918247827</v>
      </c>
      <c r="AA44" s="85"/>
      <c r="AB44" s="89"/>
      <c r="AC44" s="90"/>
      <c r="AD44" s="91">
        <f t="shared" ref="AD44:AD45" si="4">IF(Z44&lt;=$D$60,$D$60,Z44)</f>
        <v>2.5913606918247827</v>
      </c>
      <c r="AE44" s="92"/>
      <c r="AF44" s="93"/>
      <c r="AG44" s="78"/>
      <c r="AH44" s="88">
        <f t="shared" ref="AH44:AH45" si="5">$D$38/AD44</f>
        <v>0.24549747719756976</v>
      </c>
      <c r="AI44" s="80"/>
      <c r="AJ44" s="4"/>
      <c r="AK44" s="4"/>
      <c r="AL44" s="4"/>
      <c r="AM44" s="4"/>
      <c r="AN44" s="4"/>
      <c r="AO44" s="4"/>
      <c r="AP44" s="4"/>
      <c r="AQ44" s="4"/>
      <c r="AR44" s="63"/>
      <c r="AS44" s="4"/>
      <c r="AT44" s="4"/>
      <c r="AU44" s="4"/>
      <c r="AV44" s="4"/>
    </row>
    <row r="45" spans="1:48" ht="15.75" customHeight="1">
      <c r="A45" s="20" t="s">
        <v>79</v>
      </c>
      <c r="B45" s="20"/>
      <c r="C45" s="20"/>
      <c r="D45" s="49">
        <v>4.5</v>
      </c>
      <c r="E45" s="20" t="s">
        <v>78</v>
      </c>
      <c r="G45" s="54" t="s">
        <v>77</v>
      </c>
      <c r="H45" s="93">
        <f>D44</f>
        <v>3.5</v>
      </c>
      <c r="I45" s="94"/>
      <c r="J45" s="95">
        <f>IF(D52&gt;0.5,1.1810206 - 6.2189847 * D52 + 13.1660626 *D52^ 2 - 12.9389367 * D52^ 3+ 5.0639921 *D52 ^ 4 + 0.2169061 *D52 ^ 5 - 0.4450605 *D52 ^ 6,IF(D52&lt;=0.5,0.062))</f>
        <v>3.7201048204599019E-2</v>
      </c>
      <c r="K45" s="96"/>
      <c r="L45" s="97"/>
      <c r="M45" s="94"/>
      <c r="N45" s="98">
        <f t="shared" si="0"/>
        <v>308.06188018228448</v>
      </c>
      <c r="O45" s="96"/>
      <c r="P45" s="97"/>
      <c r="Q45" s="94"/>
      <c r="R45" s="98">
        <f t="shared" si="1"/>
        <v>6.085172941872286</v>
      </c>
      <c r="S45" s="96"/>
      <c r="T45" s="97"/>
      <c r="U45" s="94"/>
      <c r="V45" s="99">
        <f t="shared" si="2"/>
        <v>2.5744765462943531E-3</v>
      </c>
      <c r="W45" s="96"/>
      <c r="X45" s="97"/>
      <c r="Y45" s="94"/>
      <c r="Z45" s="100">
        <f t="shared" si="3"/>
        <v>1.9308574097207649</v>
      </c>
      <c r="AA45" s="96"/>
      <c r="AB45" s="97"/>
      <c r="AC45" s="94"/>
      <c r="AD45" s="101">
        <f t="shared" si="4"/>
        <v>2.5</v>
      </c>
      <c r="AE45" s="96"/>
      <c r="AF45" s="93"/>
      <c r="AG45" s="94"/>
      <c r="AH45" s="100">
        <f t="shared" si="5"/>
        <v>0.25446900494077329</v>
      </c>
      <c r="AI45" s="96"/>
      <c r="AJ45" s="4"/>
      <c r="AK45" s="17"/>
      <c r="AL45" s="4"/>
      <c r="AM45" s="4"/>
      <c r="AN45" s="4"/>
      <c r="AO45" s="102"/>
      <c r="AP45" s="4"/>
      <c r="AQ45" s="63"/>
      <c r="AR45" s="63"/>
      <c r="AS45" s="4"/>
      <c r="AT45" s="4"/>
      <c r="AU45" s="4"/>
      <c r="AV45" s="4"/>
    </row>
    <row r="46" spans="1:48" ht="15.75" customHeight="1">
      <c r="A46" s="20" t="s">
        <v>80</v>
      </c>
      <c r="B46" s="20"/>
      <c r="C46" s="20"/>
      <c r="D46" s="103">
        <v>10</v>
      </c>
      <c r="E46" s="20" t="s">
        <v>62</v>
      </c>
      <c r="G46" s="4"/>
      <c r="H46" s="4"/>
      <c r="I46" s="104">
        <f>0.033</f>
        <v>3.3000000000000002E-2</v>
      </c>
      <c r="J46" s="105">
        <v>2.5000000000000001E-2</v>
      </c>
      <c r="K46" s="106">
        <f>0.033</f>
        <v>3.3000000000000002E-2</v>
      </c>
      <c r="L46" s="107"/>
      <c r="M46" s="108">
        <f>I46*N41</f>
        <v>273.27300000000002</v>
      </c>
      <c r="N46" s="98">
        <f t="shared" si="0"/>
        <v>207.02500000000001</v>
      </c>
      <c r="O46" s="109">
        <f>K46*N41</f>
        <v>273.27300000000002</v>
      </c>
      <c r="P46" s="110"/>
      <c r="Q46" s="111">
        <f t="shared" ref="Q46:S46" si="6">M46/$B$30/$D$51^2</f>
        <v>5.3979851851851857</v>
      </c>
      <c r="R46" s="98">
        <f t="shared" si="6"/>
        <v>4.089382716049383</v>
      </c>
      <c r="S46" s="112">
        <f t="shared" si="6"/>
        <v>5.3979851851851857</v>
      </c>
      <c r="T46" s="113"/>
      <c r="U46" s="114">
        <f t="shared" ref="U46:W46" si="7">($B$18/$D$40)*(1-SQRT(1-2*Q46/$B$18))</f>
        <v>2.2797321326303772E-3</v>
      </c>
      <c r="V46" s="99">
        <f t="shared" si="7"/>
        <v>1.7213389219873343E-3</v>
      </c>
      <c r="W46" s="115">
        <f t="shared" si="7"/>
        <v>2.2797321326303772E-3</v>
      </c>
      <c r="X46" s="113"/>
      <c r="Y46" s="116">
        <f t="shared" ref="Y46:AA46" si="8">U46*100*$D$51</f>
        <v>1.7097990994727827</v>
      </c>
      <c r="Z46" s="100">
        <f t="shared" si="8"/>
        <v>1.2910041914905008</v>
      </c>
      <c r="AA46" s="117">
        <f t="shared" si="8"/>
        <v>1.7097990994727827</v>
      </c>
      <c r="AB46" s="97"/>
      <c r="AC46" s="118">
        <f t="shared" ref="AC46:AE46" si="9">IF(Y46&lt;=$D$60,$D$60,Y46)</f>
        <v>2.5</v>
      </c>
      <c r="AD46" s="101">
        <f t="shared" si="9"/>
        <v>2.5</v>
      </c>
      <c r="AE46" s="119">
        <f t="shared" si="9"/>
        <v>2.5</v>
      </c>
      <c r="AF46" s="93"/>
      <c r="AG46" s="116">
        <f t="shared" ref="AG46:AI46" si="10">$D$38/AC46</f>
        <v>0.25446900494077329</v>
      </c>
      <c r="AH46" s="100">
        <f t="shared" si="10"/>
        <v>0.25446900494077329</v>
      </c>
      <c r="AI46" s="117">
        <f t="shared" si="10"/>
        <v>0.25446900494077329</v>
      </c>
      <c r="AJ46" s="4"/>
      <c r="AK46" s="39"/>
      <c r="AL46" s="4"/>
      <c r="AM46" s="4"/>
      <c r="AN46" s="4"/>
      <c r="AO46" s="18"/>
      <c r="AP46" s="4"/>
      <c r="AQ46" s="4"/>
      <c r="AR46" s="63"/>
      <c r="AS46" s="4"/>
      <c r="AT46" s="4"/>
      <c r="AU46" s="4"/>
      <c r="AV46" s="4"/>
    </row>
    <row r="47" spans="1:48" ht="15.75" customHeight="1">
      <c r="A47" s="20" t="s">
        <v>81</v>
      </c>
      <c r="B47" s="20"/>
      <c r="C47" s="20"/>
      <c r="D47" s="20">
        <v>1</v>
      </c>
      <c r="E47" s="20" t="s">
        <v>78</v>
      </c>
      <c r="G47" s="4"/>
      <c r="H47" s="4"/>
      <c r="I47" s="120"/>
      <c r="J47" s="121">
        <f>IF(D52&gt;0.5,1.8947716 - 10.4923074 * D52 + 23.3596158 * D52^ 2 - 24.3537997 *D52^ 3+ 10.2775488 *D52^ 4 + 0.4197035 *D52^ 5 - 1.0725337 *D52^ 6,IF(D52&lt;=0.5,0.083))</f>
        <v>4.9664079361021657E-2</v>
      </c>
      <c r="K47" s="122"/>
      <c r="L47" s="107"/>
      <c r="M47" s="120"/>
      <c r="N47" s="123">
        <f t="shared" si="0"/>
        <v>411.26824118862032</v>
      </c>
      <c r="O47" s="122"/>
      <c r="P47" s="110"/>
      <c r="Q47" s="124"/>
      <c r="R47" s="123">
        <f>N47/$B$30/$D$51^2</f>
        <v>8.123817109898674</v>
      </c>
      <c r="S47" s="125"/>
      <c r="T47" s="113"/>
      <c r="U47" s="124"/>
      <c r="V47" s="126">
        <f>($B$18/$D$40)*(1-SQRT(1-2*R47/$B$18))</f>
        <v>3.45514758909971E-3</v>
      </c>
      <c r="W47" s="125"/>
      <c r="X47" s="113"/>
      <c r="Y47" s="124"/>
      <c r="Z47" s="127">
        <f>V47*100*$D$51</f>
        <v>2.5913606918247827</v>
      </c>
      <c r="AA47" s="125"/>
      <c r="AB47" s="97"/>
      <c r="AC47" s="128"/>
      <c r="AD47" s="129">
        <f>IF(Z47&lt;=$D$60,$D$60,Z47)</f>
        <v>2.5913606918247827</v>
      </c>
      <c r="AE47" s="130"/>
      <c r="AF47" s="93"/>
      <c r="AG47" s="120"/>
      <c r="AH47" s="127">
        <f>$D$38/AD47</f>
        <v>0.24549747719756976</v>
      </c>
      <c r="AI47" s="122"/>
      <c r="AJ47" s="4"/>
      <c r="AK47" s="18"/>
      <c r="AL47" s="4"/>
      <c r="AM47" s="4"/>
      <c r="AN47" s="4"/>
      <c r="AO47" s="18"/>
      <c r="AP47" s="4"/>
      <c r="AQ47" s="4"/>
      <c r="AR47" s="63"/>
      <c r="AS47" s="4"/>
      <c r="AT47" s="4"/>
      <c r="AU47" s="4"/>
      <c r="AV47" s="4"/>
    </row>
    <row r="48" spans="1:48" ht="15.75" customHeight="1">
      <c r="G48" s="4"/>
      <c r="H48" s="4"/>
      <c r="I48" s="54" t="s">
        <v>79</v>
      </c>
      <c r="J48" s="93">
        <f>D45</f>
        <v>4.5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131"/>
      <c r="AF48" s="18"/>
      <c r="AG48" s="18"/>
      <c r="AH48" s="18"/>
      <c r="AI48" s="18"/>
      <c r="AJ48" s="4"/>
      <c r="AK48" s="62"/>
      <c r="AL48" s="4"/>
      <c r="AM48" s="4"/>
      <c r="AN48" s="4"/>
      <c r="AO48" s="62"/>
      <c r="AP48" s="4"/>
      <c r="AQ48" s="4"/>
      <c r="AR48" s="63"/>
      <c r="AS48" s="4"/>
      <c r="AT48" s="4"/>
      <c r="AU48" s="4"/>
      <c r="AV48" s="4"/>
    </row>
    <row r="49" spans="1:48" ht="15.75" customHeight="1">
      <c r="A49" s="5" t="s">
        <v>82</v>
      </c>
      <c r="B49" s="4"/>
      <c r="C49" s="4"/>
      <c r="D49" s="4">
        <f>2400*D46/100</f>
        <v>240</v>
      </c>
      <c r="E49" s="23" t="s">
        <v>66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102"/>
      <c r="AF49" s="102"/>
      <c r="AG49" s="102"/>
      <c r="AH49" s="102"/>
      <c r="AI49" s="18"/>
      <c r="AJ49" s="4"/>
      <c r="AK49" s="62"/>
      <c r="AL49" s="4"/>
      <c r="AM49" s="4"/>
      <c r="AN49" s="4"/>
      <c r="AO49" s="62"/>
      <c r="AP49" s="4"/>
      <c r="AQ49" s="4"/>
      <c r="AR49" s="63"/>
      <c r="AS49" s="4"/>
      <c r="AT49" s="4"/>
      <c r="AU49" s="4"/>
      <c r="AV49" s="4"/>
    </row>
    <row r="50" spans="1:48" ht="15.75" customHeight="1">
      <c r="A50" s="23" t="s">
        <v>83</v>
      </c>
      <c r="B50" s="4"/>
      <c r="C50" s="4"/>
      <c r="D50" s="5">
        <f>B33*(D49+D43)+B34*D42</f>
        <v>676</v>
      </c>
      <c r="E50" s="23" t="s">
        <v>66</v>
      </c>
      <c r="G50" s="4"/>
      <c r="H50" s="4"/>
      <c r="I50" s="47" t="s">
        <v>84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45"/>
      <c r="AC50" s="45"/>
      <c r="AD50" s="70" t="s">
        <v>68</v>
      </c>
      <c r="AE50" s="4"/>
      <c r="AF50" s="4"/>
      <c r="AG50" s="4"/>
      <c r="AH50" s="45"/>
      <c r="AI50" s="45"/>
      <c r="AJ50" s="4"/>
      <c r="AK50" s="62"/>
      <c r="AL50" s="4"/>
      <c r="AM50" s="4"/>
      <c r="AN50" s="4"/>
      <c r="AO50" s="62"/>
      <c r="AP50" s="4"/>
      <c r="AQ50" s="4"/>
      <c r="AR50" s="63"/>
      <c r="AS50" s="4"/>
      <c r="AT50" s="4"/>
      <c r="AU50" s="4"/>
      <c r="AV50" s="4"/>
    </row>
    <row r="51" spans="1:48" ht="15.75" customHeight="1">
      <c r="A51" s="5" t="s">
        <v>85</v>
      </c>
      <c r="B51" s="4"/>
      <c r="C51" s="4"/>
      <c r="D51" s="5">
        <f>D46-D41</f>
        <v>7.5</v>
      </c>
      <c r="E51" s="5" t="s">
        <v>62</v>
      </c>
      <c r="G51" s="4"/>
      <c r="H51" s="5"/>
      <c r="I51" s="45"/>
      <c r="J51" s="72" t="s">
        <v>70</v>
      </c>
      <c r="K51" s="45"/>
      <c r="L51" s="45"/>
      <c r="M51" s="45"/>
      <c r="N51" s="73" t="s">
        <v>71</v>
      </c>
      <c r="O51" s="45"/>
      <c r="P51" s="45"/>
      <c r="Q51" s="74"/>
      <c r="R51" s="75" t="s">
        <v>72</v>
      </c>
      <c r="S51" s="77"/>
      <c r="T51" s="45"/>
      <c r="U51" s="77"/>
      <c r="V51" s="76" t="s">
        <v>73</v>
      </c>
      <c r="W51" s="77"/>
      <c r="X51" s="45"/>
      <c r="Y51" s="77"/>
      <c r="Z51" s="76" t="s">
        <v>74</v>
      </c>
      <c r="AA51" s="77"/>
      <c r="AB51" s="18"/>
      <c r="AC51" s="77"/>
      <c r="AD51" s="76" t="s">
        <v>75</v>
      </c>
      <c r="AE51" s="77"/>
      <c r="AF51" s="5"/>
      <c r="AG51" s="45"/>
      <c r="AH51" s="72" t="s">
        <v>76</v>
      </c>
      <c r="AI51" s="45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ht="15.75" customHeight="1">
      <c r="A52" s="5" t="s">
        <v>86</v>
      </c>
      <c r="B52" s="4"/>
      <c r="C52" s="4"/>
      <c r="D52" s="32">
        <f>D44/D45</f>
        <v>0.77777777777777779</v>
      </c>
      <c r="E52" s="4"/>
      <c r="G52" s="4"/>
      <c r="H52" s="5"/>
      <c r="I52" s="132"/>
      <c r="J52" s="133">
        <f>IF(D52&gt;0.5,1.1222564 - 6.9300216 * D52 + 17.2649866 * D52 ^ 2 - 20.2243189 * D52 ^ 3+ 9.6823438 * D52 ^ 4 + 0.343984 * D52 ^ 5 - 1.2382314 * D52 ^ 6,IF(D52&lt;=0.5,0.042))</f>
        <v>2.7843965188797115E-2</v>
      </c>
      <c r="K52" s="134"/>
      <c r="L52" s="81"/>
      <c r="M52" s="132"/>
      <c r="N52" s="135">
        <f t="shared" ref="N52:N53" si="11">J52*$N$41</f>
        <v>230.57587572842891</v>
      </c>
      <c r="O52" s="134"/>
      <c r="P52" s="83"/>
      <c r="Q52" s="136"/>
      <c r="R52" s="135">
        <f t="shared" ref="R52:R53" si="12">N52/$B$30/$D$51^2</f>
        <v>4.5545851995739044</v>
      </c>
      <c r="S52" s="137"/>
      <c r="T52" s="86"/>
      <c r="U52" s="136"/>
      <c r="V52" s="138">
        <f t="shared" ref="V52:V53" si="13">($B$18/$D$40)*(1-SQRT(1-2*R52/$B$18))</f>
        <v>1.9194153344867482E-3</v>
      </c>
      <c r="W52" s="137"/>
      <c r="X52" s="86"/>
      <c r="Y52" s="136"/>
      <c r="Z52" s="133">
        <f t="shared" ref="Z52:Z53" si="14">V52*100*$D$51</f>
        <v>1.4395615008650611</v>
      </c>
      <c r="AA52" s="137"/>
      <c r="AB52" s="89"/>
      <c r="AC52" s="136"/>
      <c r="AD52" s="133">
        <f t="shared" ref="AD52:AD53" si="15">IF(Z52&lt;=$D$60,$D$60,Z52)</f>
        <v>2.5</v>
      </c>
      <c r="AE52" s="137"/>
      <c r="AF52" s="93"/>
      <c r="AG52" s="132"/>
      <c r="AH52" s="133">
        <f t="shared" ref="AH52:AH53" si="16">$D$38/AD52</f>
        <v>0.25446900494077329</v>
      </c>
      <c r="AI52" s="134"/>
      <c r="AJ52" s="139"/>
      <c r="AK52" s="18"/>
      <c r="AL52" s="62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ht="15.75" customHeight="1">
      <c r="G53" s="54" t="s">
        <v>77</v>
      </c>
      <c r="H53" s="93">
        <f>D44</f>
        <v>3.5</v>
      </c>
      <c r="I53" s="94"/>
      <c r="J53" s="95">
        <f>IF(D52&gt;0.5,2.5455803 - 15.8944465 * D52 + 39.3385918 * D52 ^ 2 - 45.5872858 *D52 ^ 3+ 21.5683823 * D52^ 4 + 0.7484081 * D52^ 5 - 2.6882328 *D52 ^ 6,IF(D52&lt;=0.5,0.064))</f>
        <v>4.2351153090936178E-2</v>
      </c>
      <c r="K53" s="96"/>
      <c r="L53" s="97"/>
      <c r="M53" s="94"/>
      <c r="N53" s="98">
        <f t="shared" si="11"/>
        <v>350.70989874604248</v>
      </c>
      <c r="O53" s="96"/>
      <c r="P53" s="97"/>
      <c r="Q53" s="94"/>
      <c r="R53" s="98">
        <f t="shared" si="12"/>
        <v>6.9276029381934316</v>
      </c>
      <c r="S53" s="96"/>
      <c r="T53" s="97"/>
      <c r="U53" s="94"/>
      <c r="V53" s="99">
        <f t="shared" si="13"/>
        <v>2.9372508876410811E-3</v>
      </c>
      <c r="W53" s="96"/>
      <c r="X53" s="97"/>
      <c r="Y53" s="94"/>
      <c r="Z53" s="100">
        <f t="shared" si="14"/>
        <v>2.2029381657308105</v>
      </c>
      <c r="AA53" s="96"/>
      <c r="AB53" s="97"/>
      <c r="AC53" s="94"/>
      <c r="AD53" s="100">
        <f t="shared" si="15"/>
        <v>2.5</v>
      </c>
      <c r="AE53" s="96"/>
      <c r="AF53" s="93"/>
      <c r="AG53" s="94"/>
      <c r="AH53" s="100">
        <f t="shared" si="16"/>
        <v>0.25446900494077329</v>
      </c>
      <c r="AI53" s="96"/>
      <c r="AJ53" s="4"/>
      <c r="AK53" s="4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140"/>
    </row>
    <row r="54" spans="1:48" ht="15.75" customHeight="1">
      <c r="A54" s="5" t="s">
        <v>87</v>
      </c>
      <c r="B54" s="4"/>
      <c r="C54" s="4"/>
      <c r="D54" s="57">
        <f>D50*D44/3/1000</f>
        <v>0.78866666666666663</v>
      </c>
      <c r="E54" s="5" t="s">
        <v>88</v>
      </c>
      <c r="G54" s="4"/>
      <c r="H54" s="4"/>
      <c r="I54" s="104">
        <v>4.1000000000000002E-2</v>
      </c>
      <c r="J54" s="141">
        <v>3.1E-2</v>
      </c>
      <c r="K54" s="106">
        <v>4.1000000000000002E-2</v>
      </c>
      <c r="L54" s="107"/>
      <c r="M54" s="111">
        <f t="shared" ref="M54:O54" si="17">I54*$N$41</f>
        <v>339.52100000000002</v>
      </c>
      <c r="N54" s="98">
        <f t="shared" si="17"/>
        <v>256.71100000000001</v>
      </c>
      <c r="O54" s="112">
        <f t="shared" si="17"/>
        <v>339.52100000000002</v>
      </c>
      <c r="P54" s="110"/>
      <c r="Q54" s="111">
        <f t="shared" ref="Q54:S54" si="18">M54/$B$30/$D$51^2</f>
        <v>6.7065876543209875</v>
      </c>
      <c r="R54" s="98">
        <f t="shared" si="18"/>
        <v>5.070834567901235</v>
      </c>
      <c r="S54" s="112">
        <f t="shared" si="18"/>
        <v>6.7065876543209875</v>
      </c>
      <c r="T54" s="113"/>
      <c r="U54" s="114">
        <f t="shared" ref="U54:W54" si="19">($B$18/$D$40)*(1-SQRT(1-2*Q54/$B$18))</f>
        <v>2.8419204146526867E-3</v>
      </c>
      <c r="V54" s="99">
        <f t="shared" si="19"/>
        <v>2.1397810479982953E-3</v>
      </c>
      <c r="W54" s="115">
        <f t="shared" si="19"/>
        <v>2.8419204146526867E-3</v>
      </c>
      <c r="X54" s="113"/>
      <c r="Y54" s="116">
        <f t="shared" ref="Y54:AA54" si="20">U54*100*$D$51</f>
        <v>2.131440310989515</v>
      </c>
      <c r="Z54" s="100">
        <f t="shared" si="20"/>
        <v>1.6048357859987215</v>
      </c>
      <c r="AA54" s="117">
        <f t="shared" si="20"/>
        <v>2.131440310989515</v>
      </c>
      <c r="AB54" s="97"/>
      <c r="AC54" s="116">
        <f t="shared" ref="AC54:AE54" si="21">IF(Y54&lt;=$D$60,$D$60,Y54)</f>
        <v>2.5</v>
      </c>
      <c r="AD54" s="100">
        <f t="shared" si="21"/>
        <v>2.5</v>
      </c>
      <c r="AE54" s="117">
        <f t="shared" si="21"/>
        <v>2.5</v>
      </c>
      <c r="AF54" s="93"/>
      <c r="AG54" s="116">
        <f t="shared" ref="AG54:AI54" si="22">$D$38/AC54</f>
        <v>0.25446900494077329</v>
      </c>
      <c r="AH54" s="100">
        <f t="shared" si="22"/>
        <v>0.25446900494077329</v>
      </c>
      <c r="AI54" s="117">
        <f t="shared" si="22"/>
        <v>0.25446900494077329</v>
      </c>
      <c r="AJ54" s="4"/>
      <c r="AK54" s="4"/>
      <c r="AL54" s="5"/>
      <c r="AM54" s="5"/>
      <c r="AN54" s="142"/>
      <c r="AO54" s="143"/>
      <c r="AP54" s="143"/>
      <c r="AQ54" s="143"/>
      <c r="AR54" s="143"/>
      <c r="AS54" s="143"/>
      <c r="AT54" s="143"/>
      <c r="AU54" s="5"/>
      <c r="AV54" s="144"/>
    </row>
    <row r="55" spans="1:48" ht="15.75" customHeight="1">
      <c r="A55" s="23" t="s">
        <v>89</v>
      </c>
      <c r="B55" s="4"/>
      <c r="C55" s="4"/>
      <c r="D55" s="4"/>
      <c r="E55" s="4"/>
      <c r="G55" s="4"/>
      <c r="H55" s="4"/>
      <c r="I55" s="120"/>
      <c r="J55" s="145">
        <f>IF(D52&gt;0.5,2.1718379 - 12.8567584 * D52 + 30.6613467 * D52 ^ 2 - 34.3693089 *D52 ^ 3+ 15.7441491 * D52 ^ 4 + 0.5653468 *D52 ^ 5 - 1.875615 *D52 ^ 6,IF(D52&lt;=0.5,0.085))</f>
        <v>5.6611006285175514E-2</v>
      </c>
      <c r="K55" s="122"/>
      <c r="L55" s="107"/>
      <c r="M55" s="120"/>
      <c r="N55" s="123">
        <f>J55*$N$41</f>
        <v>468.79574304753845</v>
      </c>
      <c r="O55" s="122"/>
      <c r="P55" s="110"/>
      <c r="Q55" s="124"/>
      <c r="R55" s="123">
        <f>N55/$B$30/$D$51^2</f>
        <v>9.2601628256303901</v>
      </c>
      <c r="S55" s="125"/>
      <c r="T55" s="113"/>
      <c r="U55" s="124"/>
      <c r="V55" s="126">
        <f>($B$18/$D$40)*(1-SQRT(1-2*R55/$B$18))</f>
        <v>3.9501893904052322E-3</v>
      </c>
      <c r="W55" s="125"/>
      <c r="X55" s="113"/>
      <c r="Y55" s="124"/>
      <c r="Z55" s="127">
        <f>V55*100*$D$51</f>
        <v>2.9626420428039242</v>
      </c>
      <c r="AA55" s="125"/>
      <c r="AB55" s="97"/>
      <c r="AC55" s="124"/>
      <c r="AD55" s="127">
        <f>IF(Z55&lt;=$D$60,$D$60,Z55)</f>
        <v>2.9626420428039242</v>
      </c>
      <c r="AE55" s="125"/>
      <c r="AF55" s="93"/>
      <c r="AG55" s="120"/>
      <c r="AH55" s="127">
        <f>$D$38/AD55</f>
        <v>0.21473148060433328</v>
      </c>
      <c r="AI55" s="122"/>
      <c r="AJ55" s="4"/>
      <c r="AK55" s="4"/>
      <c r="AL55" s="5"/>
      <c r="AM55" s="5"/>
      <c r="AN55" s="142"/>
      <c r="AO55" s="143"/>
      <c r="AP55" s="143"/>
      <c r="AQ55" s="143"/>
      <c r="AR55" s="143"/>
      <c r="AS55" s="143"/>
      <c r="AT55" s="143"/>
      <c r="AU55" s="5"/>
      <c r="AV55" s="144"/>
    </row>
    <row r="56" spans="1:48" ht="15.75" customHeight="1">
      <c r="A56" s="5" t="s">
        <v>90</v>
      </c>
      <c r="B56" s="4"/>
      <c r="C56" s="4"/>
      <c r="D56" s="57">
        <f>((D50*D44/3)*(3-D52^2)/2)/1000</f>
        <v>0.94445267489711937</v>
      </c>
      <c r="E56" s="5" t="s">
        <v>88</v>
      </c>
      <c r="G56" s="4"/>
      <c r="H56" s="5"/>
      <c r="I56" s="54" t="s">
        <v>79</v>
      </c>
      <c r="J56" s="93">
        <f>D45</f>
        <v>4.5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131"/>
      <c r="AF56" s="18"/>
      <c r="AG56" s="18"/>
      <c r="AH56" s="18"/>
      <c r="AI56" s="18"/>
      <c r="AJ56" s="4"/>
      <c r="AK56" s="4"/>
      <c r="AL56" s="5"/>
      <c r="AM56" s="5"/>
      <c r="AN56" s="5"/>
      <c r="AO56" s="5"/>
      <c r="AP56" s="5"/>
      <c r="AQ56" s="5"/>
      <c r="AR56" s="5"/>
      <c r="AS56" s="5"/>
      <c r="AT56" s="146"/>
      <c r="AU56" s="5"/>
      <c r="AV56" s="5"/>
    </row>
    <row r="57" spans="1:48" ht="15.75" customHeight="1">
      <c r="A57" s="23" t="s">
        <v>91</v>
      </c>
      <c r="B57" s="4"/>
      <c r="C57" s="4"/>
      <c r="D57" s="4"/>
      <c r="E57" s="4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4"/>
      <c r="AK57" s="4"/>
      <c r="AL57" s="147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ht="15.75" customHeight="1">
      <c r="G58" s="4"/>
      <c r="H58" s="5"/>
      <c r="I58" s="47" t="s">
        <v>92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45"/>
      <c r="AC58" s="45"/>
      <c r="AD58" s="70" t="s">
        <v>68</v>
      </c>
      <c r="AE58" s="5"/>
      <c r="AF58" s="5"/>
      <c r="AG58" s="5"/>
      <c r="AH58" s="45"/>
      <c r="AI58" s="45"/>
      <c r="AJ58" s="4"/>
      <c r="AK58" s="4"/>
      <c r="AL58" s="22"/>
      <c r="AM58" s="5"/>
      <c r="AN58" s="5"/>
      <c r="AO58" s="148"/>
      <c r="AP58" s="148"/>
      <c r="AQ58" s="148"/>
      <c r="AR58" s="148"/>
      <c r="AS58" s="148"/>
      <c r="AT58" s="148"/>
      <c r="AU58" s="5"/>
      <c r="AV58" s="5"/>
    </row>
    <row r="59" spans="1:48" ht="15.75" customHeight="1">
      <c r="A59" s="23" t="s">
        <v>93</v>
      </c>
      <c r="D59" s="32">
        <f>IF(C37="RB",B30*B20*D47*D51^2,B30*#REF!*D47*D51^2)</f>
        <v>2767.2455566406243</v>
      </c>
      <c r="E59" s="23" t="s">
        <v>94</v>
      </c>
      <c r="F59" s="6" t="s">
        <v>95</v>
      </c>
      <c r="G59" s="4"/>
      <c r="H59" s="5"/>
      <c r="I59" s="319" t="s">
        <v>70</v>
      </c>
      <c r="J59" s="320"/>
      <c r="K59" s="321"/>
      <c r="L59" s="45"/>
      <c r="M59" s="45"/>
      <c r="N59" s="73" t="s">
        <v>71</v>
      </c>
      <c r="O59" s="45"/>
      <c r="P59" s="45"/>
      <c r="Q59" s="74"/>
      <c r="R59" s="75" t="s">
        <v>72</v>
      </c>
      <c r="S59" s="45"/>
      <c r="T59" s="45"/>
      <c r="U59" s="45"/>
      <c r="V59" s="73" t="s">
        <v>73</v>
      </c>
      <c r="W59" s="45"/>
      <c r="X59" s="45"/>
      <c r="Y59" s="45"/>
      <c r="Z59" s="73" t="s">
        <v>74</v>
      </c>
      <c r="AA59" s="45"/>
      <c r="AB59" s="18"/>
      <c r="AC59" s="45"/>
      <c r="AD59" s="73" t="s">
        <v>75</v>
      </c>
      <c r="AE59" s="45"/>
      <c r="AF59" s="5"/>
      <c r="AG59" s="45"/>
      <c r="AH59" s="72" t="s">
        <v>76</v>
      </c>
      <c r="AI59" s="45"/>
      <c r="AJ59" s="4"/>
      <c r="AK59" s="4"/>
      <c r="AL59" s="22"/>
      <c r="AM59" s="5"/>
      <c r="AN59" s="5"/>
      <c r="AO59" s="149"/>
      <c r="AP59" s="149"/>
      <c r="AQ59" s="149"/>
      <c r="AR59" s="149"/>
      <c r="AS59" s="149"/>
      <c r="AT59" s="149"/>
      <c r="AU59" s="150"/>
      <c r="AV59" s="151"/>
    </row>
    <row r="60" spans="1:48" ht="15.75" customHeight="1">
      <c r="A60" s="23" t="s">
        <v>96</v>
      </c>
      <c r="D60" s="57">
        <f>IF(C37="RB",B25*100*D46,F25*100*D46)</f>
        <v>2.5</v>
      </c>
      <c r="E60" s="58" t="s">
        <v>52</v>
      </c>
      <c r="F60" s="6" t="s">
        <v>97</v>
      </c>
      <c r="G60" s="4"/>
      <c r="H60" s="5"/>
      <c r="I60" s="152"/>
      <c r="J60" s="153">
        <f>IF(D52&gt;0.5,2.1718379 - 12.8567584 * D52 + 30.6613467 * D52 ^ 2 - 34.3693089 *D52 ^ 3+ 15.7441491 * D52 ^ 4 + 0.5653468 *D52 ^ 5 - 1.875615 *D52 ^ 6,IF(D52&lt;=0.5,0.085))</f>
        <v>5.6611006285175514E-2</v>
      </c>
      <c r="K60" s="154"/>
      <c r="L60" s="81"/>
      <c r="M60" s="155"/>
      <c r="N60" s="82">
        <f t="shared" ref="N60:N61" si="23">J60*$N$41</f>
        <v>468.79574304753845</v>
      </c>
      <c r="O60" s="80"/>
      <c r="P60" s="81"/>
      <c r="Q60" s="156"/>
      <c r="R60" s="82">
        <f t="shared" ref="R60:R61" si="24">N60/$B$30/$D$51^2</f>
        <v>9.2601628256303901</v>
      </c>
      <c r="S60" s="85"/>
      <c r="T60" s="157"/>
      <c r="U60" s="156"/>
      <c r="V60" s="87">
        <f t="shared" ref="V60:V61" si="25">($B$18/$D$40)*(1-SQRT(1-2*R60/$B$18))</f>
        <v>3.9501893904052322E-3</v>
      </c>
      <c r="W60" s="85"/>
      <c r="X60" s="157"/>
      <c r="Y60" s="156"/>
      <c r="Z60" s="88">
        <f t="shared" ref="Z60:Z61" si="26">V60*100*$D$51</f>
        <v>2.9626420428039242</v>
      </c>
      <c r="AA60" s="85"/>
      <c r="AB60" s="158"/>
      <c r="AC60" s="156"/>
      <c r="AD60" s="88">
        <f t="shared" ref="AD60:AD61" si="27">IF(Z60&lt;=$D$60,$D$60,Z60)</f>
        <v>2.9626420428039242</v>
      </c>
      <c r="AE60" s="85"/>
      <c r="AF60" s="93"/>
      <c r="AG60" s="155"/>
      <c r="AH60" s="88">
        <f t="shared" ref="AH60:AH61" si="28">$D$38/AD60</f>
        <v>0.21473148060433328</v>
      </c>
      <c r="AI60" s="80"/>
      <c r="AJ60" s="4"/>
      <c r="AK60" s="4"/>
      <c r="AL60" s="22"/>
      <c r="AM60" s="5"/>
      <c r="AN60" s="5"/>
      <c r="AO60" s="146"/>
      <c r="AP60" s="146"/>
      <c r="AQ60" s="146"/>
      <c r="AR60" s="146"/>
      <c r="AS60" s="146"/>
      <c r="AT60" s="146"/>
      <c r="AU60" s="5"/>
      <c r="AV60" s="5"/>
    </row>
    <row r="61" spans="1:48" ht="15.75" customHeight="1">
      <c r="G61" s="54" t="s">
        <v>77</v>
      </c>
      <c r="H61" s="93">
        <f>D44</f>
        <v>3.5</v>
      </c>
      <c r="I61" s="59"/>
      <c r="J61" s="95">
        <f>IF(D52&gt;0.5,2.5455803 - 15.8944465 * D52 + 39.3385918 * D52 ^ 2 - 45.5872858 *D52 ^ 3+ 21.5683823 * D52^ 4 + 0.7484081 * D52^ 5 - 2.6882328 *D52 ^ 6,IF(D52&lt;=0.5,0.064))</f>
        <v>4.2351153090936178E-2</v>
      </c>
      <c r="K61" s="96"/>
      <c r="L61" s="97"/>
      <c r="M61" s="59"/>
      <c r="N61" s="98">
        <f t="shared" si="23"/>
        <v>350.70989874604248</v>
      </c>
      <c r="O61" s="96"/>
      <c r="P61" s="97"/>
      <c r="Q61" s="59"/>
      <c r="R61" s="98">
        <f t="shared" si="24"/>
        <v>6.9276029381934316</v>
      </c>
      <c r="S61" s="96"/>
      <c r="T61" s="97"/>
      <c r="U61" s="59"/>
      <c r="V61" s="99">
        <f t="shared" si="25"/>
        <v>2.9372508876410811E-3</v>
      </c>
      <c r="W61" s="96"/>
      <c r="X61" s="97"/>
      <c r="Y61" s="59"/>
      <c r="Z61" s="100">
        <f t="shared" si="26"/>
        <v>2.2029381657308105</v>
      </c>
      <c r="AA61" s="96"/>
      <c r="AB61" s="97"/>
      <c r="AC61" s="59"/>
      <c r="AD61" s="100">
        <f t="shared" si="27"/>
        <v>2.5</v>
      </c>
      <c r="AE61" s="96"/>
      <c r="AF61" s="93"/>
      <c r="AG61" s="59"/>
      <c r="AH61" s="100">
        <f t="shared" si="28"/>
        <v>0.25446900494077329</v>
      </c>
      <c r="AI61" s="96"/>
      <c r="AJ61" s="4"/>
      <c r="AK61" s="4"/>
      <c r="AL61" s="5"/>
      <c r="AM61" s="5"/>
      <c r="AN61" s="5"/>
      <c r="AO61" s="149"/>
      <c r="AP61" s="149"/>
      <c r="AQ61" s="149"/>
      <c r="AR61" s="149"/>
      <c r="AS61" s="149"/>
      <c r="AT61" s="149"/>
      <c r="AU61" s="150"/>
      <c r="AV61" s="151"/>
    </row>
    <row r="62" spans="1:48" ht="15.75" customHeight="1">
      <c r="A62" s="31" t="s">
        <v>98</v>
      </c>
      <c r="F62" s="4"/>
      <c r="G62" s="4"/>
      <c r="H62" s="4"/>
      <c r="I62" s="159">
        <v>2.1000000000000001E-2</v>
      </c>
      <c r="J62" s="141">
        <v>3.1E-2</v>
      </c>
      <c r="K62" s="106">
        <v>4.1000000000000002E-2</v>
      </c>
      <c r="L62" s="107"/>
      <c r="M62" s="160">
        <f t="shared" ref="M62:O62" si="29">I62*$N$41</f>
        <v>173.90100000000001</v>
      </c>
      <c r="N62" s="98">
        <f t="shared" si="29"/>
        <v>256.71100000000001</v>
      </c>
      <c r="O62" s="112">
        <f t="shared" si="29"/>
        <v>339.52100000000002</v>
      </c>
      <c r="P62" s="107"/>
      <c r="Q62" s="160">
        <f t="shared" ref="Q62:S62" si="30">M62/$B$30/$D$51^2</f>
        <v>3.4350814814814816</v>
      </c>
      <c r="R62" s="98">
        <f t="shared" si="30"/>
        <v>5.070834567901235</v>
      </c>
      <c r="S62" s="112">
        <f t="shared" si="30"/>
        <v>6.7065876543209875</v>
      </c>
      <c r="T62" s="161"/>
      <c r="U62" s="162">
        <f t="shared" ref="U62:W62" si="31">($B$18/$D$40)*(1-SQRT(1-2*Q62/$B$18))</f>
        <v>1.4435416715436495E-3</v>
      </c>
      <c r="V62" s="99">
        <f t="shared" si="31"/>
        <v>2.1397810479982953E-3</v>
      </c>
      <c r="W62" s="115">
        <f t="shared" si="31"/>
        <v>2.8419204146526867E-3</v>
      </c>
      <c r="X62" s="161"/>
      <c r="Y62" s="163">
        <f t="shared" ref="Y62:AA62" si="32">U62*100*$D$51</f>
        <v>1.0826562536577371</v>
      </c>
      <c r="Z62" s="100">
        <f t="shared" si="32"/>
        <v>1.6048357859987215</v>
      </c>
      <c r="AA62" s="117">
        <f t="shared" si="32"/>
        <v>2.131440310989515</v>
      </c>
      <c r="AB62" s="164"/>
      <c r="AC62" s="163">
        <f t="shared" ref="AC62:AE62" si="33">IF(Y62&lt;=$D$60,$D$60,Y62)</f>
        <v>2.5</v>
      </c>
      <c r="AD62" s="100">
        <f t="shared" si="33"/>
        <v>2.5</v>
      </c>
      <c r="AE62" s="117">
        <f t="shared" si="33"/>
        <v>2.5</v>
      </c>
      <c r="AF62" s="93"/>
      <c r="AG62" s="163">
        <f t="shared" ref="AG62:AI62" si="34">$D$38/AC62</f>
        <v>0.25446900494077329</v>
      </c>
      <c r="AH62" s="100">
        <f t="shared" si="34"/>
        <v>0.25446900494077329</v>
      </c>
      <c r="AI62" s="117">
        <f t="shared" si="34"/>
        <v>0.25446900494077329</v>
      </c>
      <c r="AJ62" s="4"/>
      <c r="AK62" s="4"/>
      <c r="AL62" s="147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ht="15.75" customHeight="1">
      <c r="A63" s="23" t="s">
        <v>70</v>
      </c>
      <c r="D63" s="30">
        <v>4.9000000000000002E-2</v>
      </c>
      <c r="F63" s="4"/>
      <c r="G63" s="4"/>
      <c r="H63" s="4"/>
      <c r="I63" s="165"/>
      <c r="J63" s="145">
        <f>IF(D52&gt;0.5,2.1718379 - 12.8567584 * D52 + 30.6613467 * D52 ^ 2 - 34.3693089 *D52 ^ 3+ 15.7441491 * D52 ^ 4 + 0.5653468 *D52 ^ 5 - 1.875615 *D52 ^ 6,IF(D52&lt;=0.5,0.085))</f>
        <v>5.6611006285175514E-2</v>
      </c>
      <c r="K63" s="122"/>
      <c r="L63" s="107"/>
      <c r="M63" s="165"/>
      <c r="N63" s="123">
        <f>J63*$N$41</f>
        <v>468.79574304753845</v>
      </c>
      <c r="O63" s="122"/>
      <c r="P63" s="107"/>
      <c r="Q63" s="166"/>
      <c r="R63" s="123">
        <f>N63/$B$30/$D$51^2</f>
        <v>9.2601628256303901</v>
      </c>
      <c r="S63" s="125"/>
      <c r="T63" s="161"/>
      <c r="U63" s="166"/>
      <c r="V63" s="126">
        <f>($B$18/$D$40)*(1-SQRT(1-2*R63/$B$18))</f>
        <v>3.9501893904052322E-3</v>
      </c>
      <c r="W63" s="125"/>
      <c r="X63" s="161"/>
      <c r="Y63" s="166"/>
      <c r="Z63" s="127">
        <f>V63*100*$D$51</f>
        <v>2.9626420428039242</v>
      </c>
      <c r="AA63" s="125"/>
      <c r="AB63" s="164"/>
      <c r="AC63" s="166"/>
      <c r="AD63" s="127">
        <f>IF(Z63&lt;=$D$60,$D$60,Z63)</f>
        <v>2.9626420428039242</v>
      </c>
      <c r="AE63" s="125"/>
      <c r="AF63" s="93"/>
      <c r="AG63" s="165"/>
      <c r="AH63" s="127">
        <f>$D$38/AD63</f>
        <v>0.21473148060433328</v>
      </c>
      <c r="AI63" s="122"/>
      <c r="AJ63" s="4"/>
      <c r="AK63" s="4"/>
      <c r="AL63" s="147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ht="15.75" customHeight="1">
      <c r="A64" s="23" t="s">
        <v>99</v>
      </c>
      <c r="B64" s="4"/>
      <c r="C64" s="4"/>
      <c r="D64" s="32">
        <f>D63*D50*D44^2</f>
        <v>405.76900000000001</v>
      </c>
      <c r="E64" s="23" t="s">
        <v>94</v>
      </c>
      <c r="F64" s="4"/>
      <c r="G64" s="4"/>
      <c r="H64" s="5"/>
      <c r="I64" s="54" t="s">
        <v>79</v>
      </c>
      <c r="J64" s="93">
        <f>D45</f>
        <v>4.5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131"/>
      <c r="AF64" s="18"/>
      <c r="AG64" s="18"/>
      <c r="AH64" s="18"/>
      <c r="AI64" s="18"/>
      <c r="AJ64" s="4"/>
      <c r="AK64" s="4"/>
      <c r="AL64" s="22"/>
      <c r="AM64" s="5"/>
      <c r="AN64" s="5"/>
      <c r="AO64" s="146"/>
      <c r="AP64" s="146"/>
      <c r="AQ64" s="146"/>
      <c r="AR64" s="146"/>
      <c r="AS64" s="146"/>
      <c r="AT64" s="146"/>
      <c r="AU64" s="5"/>
      <c r="AV64" s="5"/>
    </row>
    <row r="65" spans="1:48" ht="15.75" customHeight="1">
      <c r="A65" s="23" t="s">
        <v>100</v>
      </c>
      <c r="B65" s="4"/>
      <c r="C65" s="4"/>
      <c r="D65" s="32">
        <f>D64/B30/D47/D51^2</f>
        <v>8.0151901234567902</v>
      </c>
      <c r="E65" s="23" t="s">
        <v>12</v>
      </c>
      <c r="F65" s="6" t="s">
        <v>101</v>
      </c>
      <c r="G65" s="4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22"/>
      <c r="AM65" s="5"/>
      <c r="AN65" s="5"/>
      <c r="AO65" s="149"/>
      <c r="AP65" s="149"/>
      <c r="AQ65" s="149"/>
      <c r="AR65" s="149"/>
      <c r="AS65" s="149"/>
      <c r="AT65" s="149"/>
      <c r="AU65" s="150"/>
      <c r="AV65" s="151"/>
    </row>
    <row r="66" spans="1:48" ht="15.75" customHeight="1">
      <c r="A66" s="23" t="s">
        <v>102</v>
      </c>
      <c r="B66" s="4"/>
      <c r="C66" s="4"/>
      <c r="D66" s="36">
        <f>(B18/D40)*(1-SQRT(1-(2*D65/B18)))</f>
        <v>3.4079822148321685E-3</v>
      </c>
      <c r="E66" s="4"/>
      <c r="F66" s="6" t="s">
        <v>103</v>
      </c>
      <c r="G66" s="4"/>
      <c r="H66" s="5"/>
      <c r="I66" s="47" t="s">
        <v>104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45"/>
      <c r="AC66" s="45"/>
      <c r="AD66" s="70" t="s">
        <v>68</v>
      </c>
      <c r="AE66" s="5"/>
      <c r="AF66" s="5"/>
      <c r="AG66" s="5"/>
      <c r="AH66" s="45"/>
      <c r="AI66" s="45"/>
      <c r="AJ66" s="4"/>
      <c r="AK66" s="4"/>
      <c r="AL66" s="22"/>
      <c r="AM66" s="5"/>
      <c r="AN66" s="5"/>
      <c r="AO66" s="146"/>
      <c r="AP66" s="146"/>
      <c r="AQ66" s="146"/>
      <c r="AR66" s="146"/>
      <c r="AS66" s="146"/>
      <c r="AT66" s="146"/>
      <c r="AU66" s="5"/>
      <c r="AV66" s="5"/>
    </row>
    <row r="67" spans="1:48" ht="15.75" customHeight="1">
      <c r="A67" s="23" t="s">
        <v>105</v>
      </c>
      <c r="B67" s="4"/>
      <c r="C67" s="4"/>
      <c r="D67" s="57">
        <f>D66*(D47*100)*D51</f>
        <v>2.5559866611241264</v>
      </c>
      <c r="E67" s="58" t="s">
        <v>52</v>
      </c>
      <c r="F67" s="6" t="s">
        <v>106</v>
      </c>
      <c r="G67" s="4"/>
      <c r="H67" s="5"/>
      <c r="I67" s="45"/>
      <c r="J67" s="72" t="s">
        <v>70</v>
      </c>
      <c r="K67" s="45"/>
      <c r="L67" s="45"/>
      <c r="M67" s="45"/>
      <c r="N67" s="73" t="s">
        <v>71</v>
      </c>
      <c r="O67" s="45"/>
      <c r="P67" s="45"/>
      <c r="Q67" s="74"/>
      <c r="R67" s="75" t="s">
        <v>72</v>
      </c>
      <c r="S67" s="77"/>
      <c r="T67" s="45"/>
      <c r="U67" s="77"/>
      <c r="V67" s="76" t="s">
        <v>73</v>
      </c>
      <c r="W67" s="77"/>
      <c r="X67" s="45"/>
      <c r="Y67" s="77"/>
      <c r="Z67" s="76" t="s">
        <v>74</v>
      </c>
      <c r="AA67" s="77"/>
      <c r="AB67" s="18"/>
      <c r="AC67" s="77"/>
      <c r="AD67" s="76" t="s">
        <v>75</v>
      </c>
      <c r="AE67" s="77"/>
      <c r="AF67" s="5"/>
      <c r="AG67" s="45"/>
      <c r="AH67" s="72" t="s">
        <v>76</v>
      </c>
      <c r="AI67" s="45"/>
      <c r="AJ67" s="4"/>
      <c r="AK67" s="4"/>
      <c r="AL67" s="22"/>
      <c r="AM67" s="5"/>
      <c r="AN67" s="5"/>
      <c r="AO67" s="149"/>
      <c r="AP67" s="149"/>
      <c r="AQ67" s="149"/>
      <c r="AR67" s="149"/>
      <c r="AS67" s="149"/>
      <c r="AT67" s="149"/>
      <c r="AU67" s="150"/>
      <c r="AV67" s="151"/>
    </row>
    <row r="68" spans="1:48" ht="15.75" customHeight="1">
      <c r="A68" s="23" t="s">
        <v>107</v>
      </c>
      <c r="B68" s="4"/>
      <c r="C68" s="4"/>
      <c r="D68" s="57">
        <f>IF(D67&lt;D60,D60,D67)</f>
        <v>2.5559866611241264</v>
      </c>
      <c r="E68" s="58" t="s">
        <v>52</v>
      </c>
      <c r="F68" s="4"/>
      <c r="G68" s="4"/>
      <c r="H68" s="5"/>
      <c r="I68" s="132"/>
      <c r="J68" s="133">
        <f>IF(D52&gt;0.5,1.1249303 - 6.8253905 * D52 + 16.6332529 * D52 ^ 2 - 18.9245369 * D52 ^ 3+ 8.7424728 *D52 ^ 4 + 0.3171068 *D52 ^ 5 - 1.0428365 * D52 ^ 6,IF(D52&lt;=0.5,0.045))</f>
        <v>3.295486906599146E-2</v>
      </c>
      <c r="K68" s="134"/>
      <c r="L68" s="81"/>
      <c r="M68" s="132"/>
      <c r="N68" s="135">
        <f t="shared" ref="N68:N69" si="35">J68*$N$41</f>
        <v>272.89927073547528</v>
      </c>
      <c r="O68" s="134"/>
      <c r="P68" s="83"/>
      <c r="Q68" s="136"/>
      <c r="R68" s="135">
        <f t="shared" ref="R68:R69" si="36">N68/$B$30/$D$51^2</f>
        <v>5.3906028787254376</v>
      </c>
      <c r="S68" s="137"/>
      <c r="T68" s="86"/>
      <c r="U68" s="136"/>
      <c r="V68" s="138">
        <f t="shared" ref="V68:V69" si="37">($B$18/$D$40)*(1-SQRT(1-2*R68/$B$18))</f>
        <v>2.2765714599327445E-3</v>
      </c>
      <c r="W68" s="137"/>
      <c r="X68" s="86"/>
      <c r="Y68" s="136"/>
      <c r="Z68" s="133">
        <f t="shared" ref="Z68:Z69" si="38">V68*100*$D$51</f>
        <v>1.7074285949495582</v>
      </c>
      <c r="AA68" s="137"/>
      <c r="AB68" s="89"/>
      <c r="AC68" s="136"/>
      <c r="AD68" s="133">
        <f t="shared" ref="AD68:AD69" si="39">IF(Z68&lt;=$D$60,$D$60,Z68)</f>
        <v>2.5</v>
      </c>
      <c r="AE68" s="137"/>
      <c r="AF68" s="93"/>
      <c r="AG68" s="132"/>
      <c r="AH68" s="133">
        <f t="shared" ref="AH68:AH69" si="40">$D$38/AD68</f>
        <v>0.25446900494077329</v>
      </c>
      <c r="AI68" s="134"/>
      <c r="AJ68" s="4"/>
      <c r="AK68" s="4"/>
      <c r="AL68" s="22"/>
      <c r="AM68" s="5"/>
      <c r="AN68" s="5"/>
      <c r="AO68" s="146"/>
      <c r="AP68" s="146"/>
      <c r="AQ68" s="146"/>
      <c r="AR68" s="146"/>
      <c r="AS68" s="146"/>
      <c r="AT68" s="146"/>
      <c r="AU68" s="5"/>
      <c r="AV68" s="5"/>
    </row>
    <row r="69" spans="1:48" ht="15.75" customHeight="1">
      <c r="A69" s="23" t="s">
        <v>108</v>
      </c>
      <c r="B69" s="4"/>
      <c r="C69" s="4"/>
      <c r="D69" s="57">
        <f>D38/D68</f>
        <v>0.24889508307220337</v>
      </c>
      <c r="E69" s="23" t="s">
        <v>78</v>
      </c>
      <c r="F69" s="6" t="s">
        <v>109</v>
      </c>
      <c r="G69" s="54" t="s">
        <v>77</v>
      </c>
      <c r="H69" s="93">
        <f>D44</f>
        <v>3.5</v>
      </c>
      <c r="I69" s="94"/>
      <c r="J69" s="95">
        <f>IF(D52&gt;0.5,1.9677603 - 12.3608981 * D52 + 31.1229464 * D52 ^ 2 - 36.7063071 *D52 ^ 3+ 17.678214 * D52 ^ 4 + 0.5993751 *D52 ^ 5 - 2.2640927 *D52 ^ 6,IF(D52&lt;=0.5,0.068))</f>
        <v>4.9323466994267928E-2</v>
      </c>
      <c r="K69" s="96"/>
      <c r="L69" s="97"/>
      <c r="M69" s="94"/>
      <c r="N69" s="98">
        <f t="shared" si="35"/>
        <v>408.44763017953272</v>
      </c>
      <c r="O69" s="96"/>
      <c r="P69" s="97"/>
      <c r="Q69" s="94"/>
      <c r="R69" s="98">
        <f t="shared" si="36"/>
        <v>8.0681013368796588</v>
      </c>
      <c r="S69" s="96"/>
      <c r="T69" s="97"/>
      <c r="U69" s="94"/>
      <c r="V69" s="99">
        <f t="shared" si="37"/>
        <v>3.4309526312971432E-3</v>
      </c>
      <c r="W69" s="96"/>
      <c r="X69" s="97"/>
      <c r="Y69" s="94"/>
      <c r="Z69" s="100">
        <f t="shared" si="38"/>
        <v>2.5732144734728575</v>
      </c>
      <c r="AA69" s="96"/>
      <c r="AB69" s="97"/>
      <c r="AC69" s="94"/>
      <c r="AD69" s="100">
        <f t="shared" si="39"/>
        <v>2.5732144734728575</v>
      </c>
      <c r="AE69" s="96"/>
      <c r="AF69" s="93"/>
      <c r="AG69" s="94"/>
      <c r="AH69" s="100">
        <f t="shared" si="40"/>
        <v>0.24722871680934666</v>
      </c>
      <c r="AI69" s="96"/>
      <c r="AJ69" s="4"/>
      <c r="AK69" s="4"/>
      <c r="AL69" s="5"/>
      <c r="AM69" s="5"/>
      <c r="AN69" s="5"/>
      <c r="AO69" s="149"/>
      <c r="AP69" s="149"/>
      <c r="AQ69" s="149"/>
      <c r="AR69" s="149"/>
      <c r="AS69" s="149"/>
      <c r="AT69" s="149"/>
      <c r="AU69" s="150"/>
      <c r="AV69" s="151"/>
    </row>
    <row r="70" spans="1:48" ht="15.75" customHeight="1">
      <c r="G70" s="4"/>
      <c r="H70" s="4"/>
      <c r="I70" s="104">
        <v>4.9000000000000002E-2</v>
      </c>
      <c r="J70" s="141">
        <v>3.6999999999999998E-2</v>
      </c>
      <c r="K70" s="106">
        <v>4.9000000000000002E-2</v>
      </c>
      <c r="L70" s="107"/>
      <c r="M70" s="111">
        <f t="shared" ref="M70:O70" si="41">I70*$N$41</f>
        <v>405.76900000000001</v>
      </c>
      <c r="N70" s="98">
        <f t="shared" si="41"/>
        <v>306.39699999999999</v>
      </c>
      <c r="O70" s="112">
        <f t="shared" si="41"/>
        <v>405.76900000000001</v>
      </c>
      <c r="P70" s="110"/>
      <c r="Q70" s="111">
        <f t="shared" ref="Q70:S70" si="42">M70/$B$30/$D$51^2</f>
        <v>8.0151901234567902</v>
      </c>
      <c r="R70" s="98">
        <f t="shared" si="42"/>
        <v>6.0522864197530861</v>
      </c>
      <c r="S70" s="112">
        <f t="shared" si="42"/>
        <v>8.0151901234567902</v>
      </c>
      <c r="T70" s="113"/>
      <c r="U70" s="114">
        <f t="shared" ref="U70:W70" si="43">($B$18/$D$40)*(1-SQRT(1-2*Q70/$B$18))</f>
        <v>3.4079822148321685E-3</v>
      </c>
      <c r="V70" s="99">
        <f t="shared" si="43"/>
        <v>2.5603470494882335E-3</v>
      </c>
      <c r="W70" s="115">
        <f t="shared" si="43"/>
        <v>3.4079822148321685E-3</v>
      </c>
      <c r="X70" s="113"/>
      <c r="Y70" s="116">
        <f t="shared" ref="Y70:AA70" si="44">U70*100*$D$51</f>
        <v>2.5559866611241264</v>
      </c>
      <c r="Z70" s="100">
        <f t="shared" si="44"/>
        <v>1.9202602871161751</v>
      </c>
      <c r="AA70" s="117">
        <f t="shared" si="44"/>
        <v>2.5559866611241264</v>
      </c>
      <c r="AB70" s="97"/>
      <c r="AC70" s="116">
        <f t="shared" ref="AC70:AE70" si="45">IF(Y70&lt;=$D$60,$D$60,Y70)</f>
        <v>2.5559866611241264</v>
      </c>
      <c r="AD70" s="100">
        <f t="shared" si="45"/>
        <v>2.5</v>
      </c>
      <c r="AE70" s="117">
        <f t="shared" si="45"/>
        <v>2.5559866611241264</v>
      </c>
      <c r="AF70" s="93"/>
      <c r="AG70" s="116">
        <f t="shared" ref="AG70:AI70" si="46">$D$38/AC70</f>
        <v>0.24889508307220337</v>
      </c>
      <c r="AH70" s="100">
        <f t="shared" si="46"/>
        <v>0.25446900494077329</v>
      </c>
      <c r="AI70" s="117">
        <f t="shared" si="46"/>
        <v>0.24889508307220337</v>
      </c>
      <c r="AJ70" s="4"/>
      <c r="AK70" s="4"/>
      <c r="AL70" s="147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ht="15.75" customHeight="1">
      <c r="G71" s="4"/>
      <c r="H71" s="4"/>
      <c r="I71" s="167"/>
      <c r="J71" s="168">
        <f>IF(D52&gt;0.5,1.1249303 - 6.8253905 * D52 + 16.6332529 * D52 ^ 2 - 18.9245369 * D52 ^ 3+ 8.7424728 *D52 ^ 4 + 0.3171068 *D52 ^ 5 - 1.0428365 * D52 ^ 6,IF(D52&lt;=0.5,0.045))</f>
        <v>3.295486906599146E-2</v>
      </c>
      <c r="K71" s="169"/>
      <c r="L71" s="107"/>
      <c r="M71" s="167"/>
      <c r="N71" s="170">
        <f>J71*$N$41</f>
        <v>272.89927073547528</v>
      </c>
      <c r="O71" s="169"/>
      <c r="P71" s="110"/>
      <c r="Q71" s="171"/>
      <c r="R71" s="170">
        <f>N71/$B$30/$D$51^2</f>
        <v>5.3906028787254376</v>
      </c>
      <c r="S71" s="172"/>
      <c r="T71" s="113"/>
      <c r="U71" s="171"/>
      <c r="V71" s="173">
        <f>($B$18/$D$40)*(1-SQRT(1-2*R71/$B$18))</f>
        <v>2.2765714599327445E-3</v>
      </c>
      <c r="W71" s="172"/>
      <c r="X71" s="113"/>
      <c r="Y71" s="171"/>
      <c r="Z71" s="174">
        <f>V71*100*$D$51</f>
        <v>1.7074285949495582</v>
      </c>
      <c r="AA71" s="172"/>
      <c r="AB71" s="97"/>
      <c r="AC71" s="171"/>
      <c r="AD71" s="174">
        <f>IF(Z71&lt;=$D$60,$D$60,Z71)</f>
        <v>2.5</v>
      </c>
      <c r="AE71" s="172"/>
      <c r="AF71" s="93"/>
      <c r="AG71" s="167"/>
      <c r="AH71" s="174">
        <f>$D$38/AD71</f>
        <v>0.25446900494077329</v>
      </c>
      <c r="AI71" s="169"/>
      <c r="AJ71" s="4"/>
      <c r="AK71" s="4"/>
      <c r="AL71" s="147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ht="15.75" customHeight="1">
      <c r="A72" s="4"/>
      <c r="B72" s="4"/>
      <c r="C72" s="4"/>
      <c r="D72" s="4"/>
      <c r="E72" s="4"/>
      <c r="F72" s="4"/>
      <c r="G72" s="4"/>
      <c r="H72" s="5"/>
      <c r="I72" s="54" t="s">
        <v>79</v>
      </c>
      <c r="J72" s="93">
        <f>D45</f>
        <v>4.5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18"/>
      <c r="AF72" s="18"/>
      <c r="AG72" s="18"/>
      <c r="AH72" s="18"/>
      <c r="AI72" s="18"/>
      <c r="AJ72" s="4"/>
      <c r="AK72" s="4"/>
      <c r="AL72" s="22"/>
      <c r="AM72" s="5"/>
      <c r="AN72" s="5"/>
      <c r="AO72" s="148"/>
      <c r="AP72" s="148"/>
      <c r="AQ72" s="148"/>
      <c r="AR72" s="148"/>
      <c r="AS72" s="148"/>
      <c r="AT72" s="148"/>
      <c r="AU72" s="5"/>
      <c r="AV72" s="5"/>
    </row>
    <row r="73" spans="1:48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22"/>
      <c r="AM73" s="5"/>
      <c r="AN73" s="5"/>
      <c r="AO73" s="149"/>
      <c r="AP73" s="149"/>
      <c r="AQ73" s="149"/>
      <c r="AR73" s="149"/>
      <c r="AS73" s="149"/>
      <c r="AT73" s="149"/>
      <c r="AU73" s="150"/>
      <c r="AV73" s="151"/>
    </row>
    <row r="74" spans="1:48" ht="15.75" customHeight="1">
      <c r="A74" s="4"/>
      <c r="B74" s="4"/>
      <c r="C74" s="4"/>
      <c r="D74" s="4"/>
      <c r="E74" s="4"/>
      <c r="F74" s="4"/>
      <c r="G74" s="4"/>
      <c r="H74" s="5"/>
      <c r="I74" s="47" t="s">
        <v>110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45"/>
      <c r="AC74" s="45"/>
      <c r="AD74" s="70" t="s">
        <v>68</v>
      </c>
      <c r="AE74" s="5"/>
      <c r="AF74" s="5"/>
      <c r="AG74" s="5"/>
      <c r="AH74" s="45"/>
      <c r="AI74" s="45"/>
      <c r="AJ74" s="4"/>
      <c r="AK74" s="4"/>
      <c r="AL74" s="22"/>
      <c r="AM74" s="5"/>
      <c r="AN74" s="5"/>
      <c r="AO74" s="146"/>
      <c r="AP74" s="146"/>
      <c r="AQ74" s="146"/>
      <c r="AR74" s="146"/>
      <c r="AS74" s="146"/>
      <c r="AT74" s="146"/>
      <c r="AU74" s="5"/>
      <c r="AV74" s="5"/>
    </row>
    <row r="75" spans="1:48" ht="15.75" customHeight="1">
      <c r="A75" s="4"/>
      <c r="B75" s="4"/>
      <c r="C75" s="4"/>
      <c r="D75" s="4"/>
      <c r="E75" s="4"/>
      <c r="F75" s="4"/>
      <c r="G75" s="4"/>
      <c r="H75" s="5"/>
      <c r="I75" s="45"/>
      <c r="J75" s="72" t="s">
        <v>70</v>
      </c>
      <c r="K75" s="45"/>
      <c r="L75" s="45"/>
      <c r="M75" s="45"/>
      <c r="N75" s="73" t="s">
        <v>71</v>
      </c>
      <c r="O75" s="45"/>
      <c r="P75" s="45"/>
      <c r="Q75" s="74"/>
      <c r="R75" s="75" t="s">
        <v>72</v>
      </c>
      <c r="S75" s="77"/>
      <c r="T75" s="45"/>
      <c r="U75" s="77"/>
      <c r="V75" s="76" t="s">
        <v>73</v>
      </c>
      <c r="W75" s="77"/>
      <c r="X75" s="45"/>
      <c r="Y75" s="77"/>
      <c r="Z75" s="76" t="s">
        <v>74</v>
      </c>
      <c r="AA75" s="77"/>
      <c r="AB75" s="18"/>
      <c r="AC75" s="77"/>
      <c r="AD75" s="76" t="s">
        <v>75</v>
      </c>
      <c r="AE75" s="77"/>
      <c r="AF75" s="5"/>
      <c r="AG75" s="45"/>
      <c r="AH75" s="72" t="s">
        <v>76</v>
      </c>
      <c r="AI75" s="45"/>
      <c r="AJ75" s="4"/>
      <c r="AK75" s="4"/>
      <c r="AL75" s="5"/>
      <c r="AM75" s="5"/>
      <c r="AN75" s="5"/>
      <c r="AO75" s="149"/>
      <c r="AP75" s="149"/>
      <c r="AQ75" s="149"/>
      <c r="AR75" s="149"/>
      <c r="AS75" s="149"/>
      <c r="AT75" s="149"/>
      <c r="AU75" s="150"/>
      <c r="AV75" s="151"/>
    </row>
    <row r="76" spans="1:48" ht="15.75" customHeight="1">
      <c r="A76" s="4"/>
      <c r="B76" s="4"/>
      <c r="C76" s="146"/>
      <c r="D76" s="4"/>
      <c r="E76" s="4"/>
      <c r="F76" s="4"/>
      <c r="G76" s="4"/>
      <c r="H76" s="5"/>
      <c r="I76" s="175"/>
      <c r="J76" s="133">
        <f>IF(D52&gt;0.5,1.1249303 - 6.8253905 * D52 + 16.6332529 * D52 ^ 2 - 18.9245369 * D52 ^ 3+ 8.7424728 *D52 ^ 4 + 0.3171068 *D52 ^ 5 - 1.0428365 * D52 ^ 6,IF(D52&lt;=0.5,0.045))</f>
        <v>3.295486906599146E-2</v>
      </c>
      <c r="K76" s="134"/>
      <c r="L76" s="81"/>
      <c r="M76" s="175"/>
      <c r="N76" s="135">
        <f t="shared" ref="N76:N77" si="47">J76*$N$41</f>
        <v>272.89927073547528</v>
      </c>
      <c r="O76" s="134"/>
      <c r="P76" s="81"/>
      <c r="Q76" s="176"/>
      <c r="R76" s="135">
        <f t="shared" ref="R76:R77" si="48">N76/$B$30/$D$51^2</f>
        <v>5.3906028787254376</v>
      </c>
      <c r="S76" s="137"/>
      <c r="T76" s="157"/>
      <c r="U76" s="176"/>
      <c r="V76" s="138">
        <f t="shared" ref="V76:V77" si="49">($B$18/$D$40)*(1-SQRT(1-2*R76/$B$18))</f>
        <v>2.2765714599327445E-3</v>
      </c>
      <c r="W76" s="137"/>
      <c r="X76" s="157"/>
      <c r="Y76" s="176"/>
      <c r="Z76" s="133">
        <f t="shared" ref="Z76:Z77" si="50">V76*100*$D$51</f>
        <v>1.7074285949495582</v>
      </c>
      <c r="AA76" s="137"/>
      <c r="AB76" s="158"/>
      <c r="AC76" s="176"/>
      <c r="AD76" s="133">
        <f t="shared" ref="AD76:AD77" si="51">IF(Z76&lt;=$D$60,$D$60,Z76)</f>
        <v>2.5</v>
      </c>
      <c r="AE76" s="137"/>
      <c r="AF76" s="93"/>
      <c r="AG76" s="175"/>
      <c r="AH76" s="133">
        <f t="shared" ref="AH76:AH77" si="52">$D$38/AD76</f>
        <v>0.25446900494077329</v>
      </c>
      <c r="AI76" s="134"/>
      <c r="AJ76" s="4"/>
      <c r="AK76" s="4"/>
      <c r="AL76" s="147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ht="15.75" customHeight="1">
      <c r="A77" s="4"/>
      <c r="B77" s="4"/>
      <c r="C77" s="4"/>
      <c r="D77" s="4"/>
      <c r="E77" s="4"/>
      <c r="G77" s="54" t="s">
        <v>77</v>
      </c>
      <c r="H77" s="93">
        <f>D44</f>
        <v>3.5</v>
      </c>
      <c r="I77" s="59"/>
      <c r="J77" s="95">
        <f>IF(D52&gt;0.5,1.9677603 - 12.3608981 * D52 + 31.1229464 * D52 ^ 2 - 36.7063071 *D52 ^ 3+ 17.678214 * D52 ^ 4 + 0.5993751 *D52 ^ 5 - 2.2640927 *D52 ^ 6,IF(D52&lt;=0.5,0.068))</f>
        <v>4.9323466994267928E-2</v>
      </c>
      <c r="K77" s="96"/>
      <c r="L77" s="97"/>
      <c r="M77" s="59"/>
      <c r="N77" s="98">
        <f t="shared" si="47"/>
        <v>408.44763017953272</v>
      </c>
      <c r="O77" s="96"/>
      <c r="P77" s="97"/>
      <c r="Q77" s="59"/>
      <c r="R77" s="98">
        <f t="shared" si="48"/>
        <v>8.0681013368796588</v>
      </c>
      <c r="S77" s="96"/>
      <c r="T77" s="97"/>
      <c r="U77" s="59"/>
      <c r="V77" s="99">
        <f t="shared" si="49"/>
        <v>3.4309526312971432E-3</v>
      </c>
      <c r="W77" s="96"/>
      <c r="X77" s="97"/>
      <c r="Y77" s="59"/>
      <c r="Z77" s="100">
        <f t="shared" si="50"/>
        <v>2.5732144734728575</v>
      </c>
      <c r="AA77" s="96"/>
      <c r="AB77" s="97"/>
      <c r="AC77" s="59"/>
      <c r="AD77" s="100">
        <f t="shared" si="51"/>
        <v>2.5732144734728575</v>
      </c>
      <c r="AE77" s="96"/>
      <c r="AF77" s="93"/>
      <c r="AG77" s="59"/>
      <c r="AH77" s="100">
        <f t="shared" si="52"/>
        <v>0.24722871680934666</v>
      </c>
      <c r="AI77" s="96"/>
      <c r="AJ77" s="4"/>
      <c r="AK77" s="4"/>
      <c r="AL77" s="22"/>
      <c r="AM77" s="5"/>
      <c r="AN77" s="5"/>
      <c r="AO77" s="148"/>
      <c r="AP77" s="148"/>
      <c r="AQ77" s="148"/>
      <c r="AR77" s="148"/>
      <c r="AS77" s="148"/>
      <c r="AT77" s="148"/>
      <c r="AU77" s="5"/>
      <c r="AV77" s="5"/>
    </row>
    <row r="78" spans="1:48" ht="15.75" customHeight="1">
      <c r="A78" s="4"/>
      <c r="B78" s="4"/>
      <c r="C78" s="4"/>
      <c r="D78" s="4"/>
      <c r="E78" s="4"/>
      <c r="G78" s="4"/>
      <c r="H78" s="4"/>
      <c r="I78" s="159">
        <v>2.5000000000000001E-2</v>
      </c>
      <c r="J78" s="141">
        <v>3.6999999999999998E-2</v>
      </c>
      <c r="K78" s="106">
        <v>4.9000000000000002E-2</v>
      </c>
      <c r="L78" s="107"/>
      <c r="M78" s="160">
        <f t="shared" ref="M78:O78" si="53">I78*$N$41</f>
        <v>207.02500000000001</v>
      </c>
      <c r="N78" s="98">
        <f t="shared" si="53"/>
        <v>306.39699999999999</v>
      </c>
      <c r="O78" s="112">
        <f t="shared" si="53"/>
        <v>405.76900000000001</v>
      </c>
      <c r="P78" s="107"/>
      <c r="Q78" s="160">
        <f t="shared" ref="Q78:S78" si="54">M78/$B$30/$D$51^2</f>
        <v>4.089382716049383</v>
      </c>
      <c r="R78" s="98">
        <f t="shared" si="54"/>
        <v>6.0522864197530861</v>
      </c>
      <c r="S78" s="112">
        <f t="shared" si="54"/>
        <v>8.0151901234567902</v>
      </c>
      <c r="T78" s="161"/>
      <c r="U78" s="162">
        <f t="shared" ref="U78:W78" si="55">($B$18/$D$40)*(1-SQRT(1-2*Q78/$B$18))</f>
        <v>1.7213389219873343E-3</v>
      </c>
      <c r="V78" s="99">
        <f t="shared" si="55"/>
        <v>2.5603470494882335E-3</v>
      </c>
      <c r="W78" s="115">
        <f t="shared" si="55"/>
        <v>3.4079822148321685E-3</v>
      </c>
      <c r="X78" s="161"/>
      <c r="Y78" s="163">
        <f t="shared" ref="Y78:AA78" si="56">U78*100*$D$51</f>
        <v>1.2910041914905008</v>
      </c>
      <c r="Z78" s="100">
        <f t="shared" si="56"/>
        <v>1.9202602871161751</v>
      </c>
      <c r="AA78" s="117">
        <f t="shared" si="56"/>
        <v>2.5559866611241264</v>
      </c>
      <c r="AB78" s="164"/>
      <c r="AC78" s="163">
        <f t="shared" ref="AC78:AE78" si="57">IF(Y78&lt;=$D$60,$D$60,Y78)</f>
        <v>2.5</v>
      </c>
      <c r="AD78" s="100">
        <f t="shared" si="57"/>
        <v>2.5</v>
      </c>
      <c r="AE78" s="117">
        <f t="shared" si="57"/>
        <v>2.5559866611241264</v>
      </c>
      <c r="AF78" s="93"/>
      <c r="AG78" s="163">
        <f t="shared" ref="AG78:AI78" si="58">$D$38/AC78</f>
        <v>0.25446900494077329</v>
      </c>
      <c r="AH78" s="100">
        <f t="shared" si="58"/>
        <v>0.25446900494077329</v>
      </c>
      <c r="AI78" s="117">
        <f t="shared" si="58"/>
        <v>0.24889508307220337</v>
      </c>
      <c r="AJ78" s="4"/>
      <c r="AK78" s="4"/>
      <c r="AL78" s="22"/>
      <c r="AM78" s="5"/>
      <c r="AN78" s="5"/>
      <c r="AO78" s="149"/>
      <c r="AP78" s="149"/>
      <c r="AQ78" s="149"/>
      <c r="AR78" s="149"/>
      <c r="AS78" s="149"/>
      <c r="AT78" s="149"/>
      <c r="AU78" s="150"/>
      <c r="AV78" s="151"/>
    </row>
    <row r="79" spans="1:48" ht="15.75" customHeight="1">
      <c r="A79" s="4"/>
      <c r="B79" s="4"/>
      <c r="C79" s="4"/>
      <c r="D79" s="4"/>
      <c r="E79" s="4"/>
      <c r="G79" s="4"/>
      <c r="H79" s="4"/>
      <c r="I79" s="165"/>
      <c r="J79" s="145">
        <f>IF(D52&gt;0.5,1.3654114 - 7.8903312 * D52 + 19.0024102 *D52 ^ 2 - 21.6132496 * D52 ^ 3+ 10.0580798 * D52 ^ 4 + 0.3727742 *D52 ^ 5 - 1.2460959 *D52 ^ 6,IF(D52&lt;=0.5,0.09))</f>
        <v>6.5577336979456446E-2</v>
      </c>
      <c r="K79" s="122"/>
      <c r="L79" s="107"/>
      <c r="M79" s="165"/>
      <c r="N79" s="123">
        <f>J79*$N$41</f>
        <v>543.04592752687881</v>
      </c>
      <c r="O79" s="122"/>
      <c r="P79" s="107"/>
      <c r="Q79" s="166"/>
      <c r="R79" s="123">
        <f>N79/$B$30/$D$51^2</f>
        <v>10.72683313633341</v>
      </c>
      <c r="S79" s="125"/>
      <c r="T79" s="161"/>
      <c r="U79" s="166"/>
      <c r="V79" s="126">
        <f>($B$18/$D$40)*(1-SQRT(1-2*R79/$B$18))</f>
        <v>4.5936404701528016E-3</v>
      </c>
      <c r="W79" s="125"/>
      <c r="X79" s="161"/>
      <c r="Y79" s="166"/>
      <c r="Z79" s="127">
        <f>V79*100*$D$51</f>
        <v>3.4452303526146011</v>
      </c>
      <c r="AA79" s="125"/>
      <c r="AB79" s="164"/>
      <c r="AC79" s="166"/>
      <c r="AD79" s="127">
        <f>IF(Z79&lt;=$D$60,$D$60,Z79)</f>
        <v>3.4452303526146011</v>
      </c>
      <c r="AE79" s="125"/>
      <c r="AF79" s="93"/>
      <c r="AG79" s="165"/>
      <c r="AH79" s="127">
        <f>$D$38/AD79</f>
        <v>0.18465311379517452</v>
      </c>
      <c r="AI79" s="122"/>
      <c r="AJ79" s="4"/>
      <c r="AK79" s="4"/>
      <c r="AL79" s="22"/>
      <c r="AM79" s="5"/>
      <c r="AN79" s="5"/>
      <c r="AO79" s="149"/>
      <c r="AP79" s="149"/>
      <c r="AQ79" s="149"/>
      <c r="AR79" s="149"/>
      <c r="AS79" s="149"/>
      <c r="AT79" s="149"/>
      <c r="AU79" s="150"/>
      <c r="AV79" s="151"/>
    </row>
    <row r="80" spans="1:48" ht="15.75" customHeight="1">
      <c r="A80" s="4"/>
      <c r="B80" s="4"/>
      <c r="C80" s="4"/>
      <c r="D80" s="4"/>
      <c r="E80" s="4"/>
      <c r="G80" s="4"/>
      <c r="H80" s="5"/>
      <c r="I80" s="54" t="s">
        <v>79</v>
      </c>
      <c r="J80" s="93">
        <f>D45</f>
        <v>4.5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131"/>
      <c r="AF80" s="18"/>
      <c r="AG80" s="18"/>
      <c r="AH80" s="18"/>
      <c r="AI80" s="18"/>
      <c r="AJ80" s="4"/>
      <c r="AK80" s="4"/>
      <c r="AL80" s="22"/>
      <c r="AM80" s="5"/>
      <c r="AN80" s="5"/>
      <c r="AO80" s="148"/>
      <c r="AP80" s="148"/>
      <c r="AQ80" s="148"/>
      <c r="AR80" s="148"/>
      <c r="AS80" s="148"/>
      <c r="AT80" s="148"/>
      <c r="AU80" s="5"/>
      <c r="AV80" s="5"/>
    </row>
    <row r="81" spans="1:48" ht="15.75" customHeight="1">
      <c r="A81" s="4"/>
      <c r="B81" s="4"/>
      <c r="C81" s="4"/>
      <c r="D81" s="4"/>
      <c r="E81" s="4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4"/>
      <c r="AK81" s="4"/>
      <c r="AL81" s="22"/>
      <c r="AM81" s="5"/>
      <c r="AN81" s="5"/>
      <c r="AO81" s="148"/>
      <c r="AP81" s="148"/>
      <c r="AQ81" s="148"/>
      <c r="AR81" s="148"/>
      <c r="AS81" s="148"/>
      <c r="AT81" s="148"/>
      <c r="AU81" s="5"/>
      <c r="AV81" s="5"/>
    </row>
    <row r="82" spans="1:48" ht="15.75" customHeight="1">
      <c r="A82" s="4"/>
      <c r="B82" s="4"/>
      <c r="C82" s="4"/>
      <c r="D82" s="4"/>
      <c r="E82" s="4"/>
      <c r="G82" s="4"/>
      <c r="H82" s="5"/>
      <c r="I82" s="47" t="s">
        <v>111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45"/>
      <c r="AC82" s="45"/>
      <c r="AD82" s="70" t="s">
        <v>68</v>
      </c>
      <c r="AE82" s="5"/>
      <c r="AF82" s="5"/>
      <c r="AG82" s="5"/>
      <c r="AH82" s="45"/>
      <c r="AI82" s="45"/>
      <c r="AJ82" s="4"/>
      <c r="AK82" s="4"/>
      <c r="AL82" s="5"/>
      <c r="AM82" s="5"/>
      <c r="AN82" s="5"/>
      <c r="AO82" s="149"/>
      <c r="AP82" s="149"/>
      <c r="AQ82" s="149"/>
      <c r="AR82" s="149"/>
      <c r="AS82" s="149"/>
      <c r="AT82" s="149"/>
      <c r="AU82" s="150"/>
      <c r="AV82" s="151"/>
    </row>
    <row r="83" spans="1:48" ht="15.75" customHeight="1">
      <c r="A83" s="4"/>
      <c r="B83" s="4"/>
      <c r="C83" s="4"/>
      <c r="D83" s="4"/>
      <c r="E83" s="4"/>
      <c r="G83" s="4"/>
      <c r="H83" s="5"/>
      <c r="I83" s="45"/>
      <c r="J83" s="72" t="s">
        <v>70</v>
      </c>
      <c r="K83" s="45"/>
      <c r="L83" s="45"/>
      <c r="M83" s="45"/>
      <c r="N83" s="73" t="s">
        <v>71</v>
      </c>
      <c r="O83" s="45"/>
      <c r="P83" s="45"/>
      <c r="Q83" s="74"/>
      <c r="R83" s="75" t="s">
        <v>72</v>
      </c>
      <c r="S83" s="45"/>
      <c r="T83" s="45"/>
      <c r="U83" s="45"/>
      <c r="V83" s="73" t="s">
        <v>73</v>
      </c>
      <c r="W83" s="45"/>
      <c r="X83" s="45"/>
      <c r="Y83" s="45"/>
      <c r="Z83" s="73" t="s">
        <v>74</v>
      </c>
      <c r="AA83" s="45"/>
      <c r="AB83" s="18"/>
      <c r="AC83" s="45"/>
      <c r="AD83" s="73" t="s">
        <v>75</v>
      </c>
      <c r="AE83" s="45"/>
      <c r="AF83" s="5"/>
      <c r="AG83" s="45"/>
      <c r="AH83" s="72" t="s">
        <v>76</v>
      </c>
      <c r="AI83" s="45"/>
      <c r="AJ83" s="4"/>
      <c r="AK83" s="4"/>
      <c r="AL83" s="147"/>
      <c r="AM83" s="5"/>
      <c r="AN83" s="5"/>
      <c r="AO83" s="57"/>
      <c r="AP83" s="57"/>
      <c r="AQ83" s="57"/>
      <c r="AR83" s="57"/>
      <c r="AS83" s="57"/>
      <c r="AT83" s="57"/>
      <c r="AU83" s="5"/>
      <c r="AV83" s="5"/>
    </row>
    <row r="84" spans="1:48" ht="15.75" customHeight="1">
      <c r="A84" s="4"/>
      <c r="B84" s="4"/>
      <c r="C84" s="4"/>
      <c r="D84" s="4"/>
      <c r="E84" s="4"/>
      <c r="G84" s="4"/>
      <c r="H84" s="5"/>
      <c r="I84" s="155"/>
      <c r="J84" s="88">
        <f>IF(D52&gt;0.5,1.3654114 - 7.8903312 * D52 + 19.0024102 *D52 ^ 2 - 21.6132496 * D52 ^ 3+ 10.0580798 * D52 ^ 4 + 0.3727742 *D52 ^ 5 - 1.2460959 *D52 ^ 6,IF(D52&lt;=0.5,0.09))</f>
        <v>6.5577336979456446E-2</v>
      </c>
      <c r="K84" s="177"/>
      <c r="L84" s="81"/>
      <c r="M84" s="155"/>
      <c r="N84" s="82">
        <f t="shared" ref="N84:N85" si="59">J84*$N$41</f>
        <v>543.04592752687881</v>
      </c>
      <c r="O84" s="177"/>
      <c r="P84" s="81"/>
      <c r="Q84" s="156"/>
      <c r="R84" s="82">
        <f t="shared" ref="R84:R85" si="60">N84/$B$30/$D$51^2</f>
        <v>10.72683313633341</v>
      </c>
      <c r="S84" s="178"/>
      <c r="T84" s="157"/>
      <c r="U84" s="156"/>
      <c r="V84" s="87">
        <f t="shared" ref="V84:V85" si="61">($B$18/$D$40)*(1-SQRT(1-2*R84/$B$18))</f>
        <v>4.5936404701528016E-3</v>
      </c>
      <c r="W84" s="178"/>
      <c r="X84" s="157"/>
      <c r="Y84" s="156"/>
      <c r="Z84" s="88">
        <f t="shared" ref="Z84:Z85" si="62">V84*100*$D$51</f>
        <v>3.4452303526146011</v>
      </c>
      <c r="AA84" s="178"/>
      <c r="AB84" s="179"/>
      <c r="AC84" s="156"/>
      <c r="AD84" s="88">
        <f t="shared" ref="AD84:AD85" si="63">IF(Z84&lt;=$D$60,$D$60,Z84)</f>
        <v>3.4452303526146011</v>
      </c>
      <c r="AE84" s="178"/>
      <c r="AF84" s="93"/>
      <c r="AG84" s="155"/>
      <c r="AH84" s="88">
        <f t="shared" ref="AH84:AH85" si="64">$D$38/AD84</f>
        <v>0.18465311379517452</v>
      </c>
      <c r="AI84" s="177"/>
      <c r="AJ84" s="4"/>
      <c r="AK84" s="4"/>
      <c r="AL84" s="22"/>
      <c r="AM84" s="5"/>
      <c r="AN84" s="5"/>
      <c r="AO84" s="148"/>
      <c r="AP84" s="148"/>
      <c r="AQ84" s="148"/>
      <c r="AR84" s="148"/>
      <c r="AS84" s="148"/>
      <c r="AT84" s="148"/>
      <c r="AU84" s="5"/>
      <c r="AV84" s="5"/>
    </row>
    <row r="85" spans="1:48" ht="15.75" customHeight="1">
      <c r="A85" s="4"/>
      <c r="B85" s="4"/>
      <c r="C85" s="4"/>
      <c r="D85" s="4"/>
      <c r="E85" s="4"/>
      <c r="G85" s="54" t="s">
        <v>77</v>
      </c>
      <c r="H85" s="93">
        <f>D44</f>
        <v>3.5</v>
      </c>
      <c r="I85" s="59"/>
      <c r="J85" s="95">
        <f>IF(D52&gt;0.5,1.9677603 - 12.3608981 * D52 + 31.1229464 * D52 ^ 2 - 36.7063071 *D52 ^ 3+ 17.678214 * D52 ^ 4 + 0.5993751 *D52 ^ 5 - 2.2640927 *D52 ^ 6,IF(D52&lt;=0.5,0.068))</f>
        <v>4.9323466994267928E-2</v>
      </c>
      <c r="K85" s="61"/>
      <c r="L85" s="97"/>
      <c r="M85" s="59"/>
      <c r="N85" s="98">
        <f t="shared" si="59"/>
        <v>408.44763017953272</v>
      </c>
      <c r="O85" s="61"/>
      <c r="P85" s="97"/>
      <c r="Q85" s="59"/>
      <c r="R85" s="98">
        <f t="shared" si="60"/>
        <v>8.0681013368796588</v>
      </c>
      <c r="S85" s="61"/>
      <c r="T85" s="97"/>
      <c r="U85" s="59"/>
      <c r="V85" s="99">
        <f t="shared" si="61"/>
        <v>3.4309526312971432E-3</v>
      </c>
      <c r="W85" s="61"/>
      <c r="X85" s="97"/>
      <c r="Y85" s="59"/>
      <c r="Z85" s="100">
        <f t="shared" si="62"/>
        <v>2.5732144734728575</v>
      </c>
      <c r="AA85" s="61"/>
      <c r="AB85" s="97"/>
      <c r="AC85" s="59"/>
      <c r="AD85" s="100">
        <f t="shared" si="63"/>
        <v>2.5732144734728575</v>
      </c>
      <c r="AE85" s="61"/>
      <c r="AF85" s="93"/>
      <c r="AG85" s="59"/>
      <c r="AH85" s="100">
        <f t="shared" si="64"/>
        <v>0.24722871680934666</v>
      </c>
      <c r="AI85" s="61"/>
      <c r="AJ85" s="4"/>
      <c r="AK85" s="4"/>
      <c r="AL85" s="22"/>
      <c r="AM85" s="5"/>
      <c r="AN85" s="5"/>
      <c r="AO85" s="149"/>
      <c r="AP85" s="149"/>
      <c r="AQ85" s="149"/>
      <c r="AR85" s="149"/>
      <c r="AS85" s="149"/>
      <c r="AT85" s="149"/>
      <c r="AU85" s="150"/>
      <c r="AV85" s="151"/>
    </row>
    <row r="86" spans="1:48" ht="15.75" customHeight="1">
      <c r="A86" s="4"/>
      <c r="B86" s="4"/>
      <c r="C86" s="4"/>
      <c r="D86" s="4"/>
      <c r="E86" s="4"/>
      <c r="G86" s="4"/>
      <c r="H86" s="4"/>
      <c r="I86" s="159">
        <v>2.5000000000000001E-2</v>
      </c>
      <c r="J86" s="141">
        <v>3.6999999999999998E-2</v>
      </c>
      <c r="K86" s="180">
        <v>2.5000000000000001E-2</v>
      </c>
      <c r="L86" s="107"/>
      <c r="M86" s="160">
        <f t="shared" ref="M86:O86" si="65">I86*$N$41</f>
        <v>207.02500000000001</v>
      </c>
      <c r="N86" s="98">
        <f t="shared" si="65"/>
        <v>306.39699999999999</v>
      </c>
      <c r="O86" s="181">
        <f t="shared" si="65"/>
        <v>207.02500000000001</v>
      </c>
      <c r="P86" s="107"/>
      <c r="Q86" s="160">
        <f t="shared" ref="Q86:S86" si="66">M86/$B$30/$D$51^2</f>
        <v>4.089382716049383</v>
      </c>
      <c r="R86" s="98">
        <f t="shared" si="66"/>
        <v>6.0522864197530861</v>
      </c>
      <c r="S86" s="181">
        <f t="shared" si="66"/>
        <v>4.089382716049383</v>
      </c>
      <c r="T86" s="161"/>
      <c r="U86" s="162">
        <f t="shared" ref="U86:W86" si="67">($B$18/$D$40)*(1-SQRT(1-2*Q86/$B$18))</f>
        <v>1.7213389219873343E-3</v>
      </c>
      <c r="V86" s="99">
        <f t="shared" si="67"/>
        <v>2.5603470494882335E-3</v>
      </c>
      <c r="W86" s="182">
        <f t="shared" si="67"/>
        <v>1.7213389219873343E-3</v>
      </c>
      <c r="X86" s="161"/>
      <c r="Y86" s="163">
        <f t="shared" ref="Y86:AA86" si="68">U86*100*$D$51</f>
        <v>1.2910041914905008</v>
      </c>
      <c r="Z86" s="100">
        <f t="shared" si="68"/>
        <v>1.9202602871161751</v>
      </c>
      <c r="AA86" s="183">
        <f t="shared" si="68"/>
        <v>1.2910041914905008</v>
      </c>
      <c r="AB86" s="107"/>
      <c r="AC86" s="163">
        <f t="shared" ref="AC86:AE86" si="69">IF(Y86&lt;=$D$60,$D$60,Y86)</f>
        <v>2.5</v>
      </c>
      <c r="AD86" s="100">
        <f t="shared" si="69"/>
        <v>2.5</v>
      </c>
      <c r="AE86" s="183">
        <f t="shared" si="69"/>
        <v>2.5</v>
      </c>
      <c r="AF86" s="93"/>
      <c r="AG86" s="163">
        <f t="shared" ref="AG86:AI86" si="70">$D$38/AC86</f>
        <v>0.25446900494077329</v>
      </c>
      <c r="AH86" s="100">
        <f t="shared" si="70"/>
        <v>0.25446900494077329</v>
      </c>
      <c r="AI86" s="183">
        <f t="shared" si="70"/>
        <v>0.25446900494077329</v>
      </c>
      <c r="AJ86" s="4"/>
      <c r="AK86" s="4"/>
      <c r="AL86" s="22"/>
      <c r="AM86" s="5"/>
      <c r="AN86" s="5"/>
      <c r="AO86" s="148"/>
      <c r="AP86" s="148"/>
      <c r="AQ86" s="148"/>
      <c r="AR86" s="148"/>
      <c r="AS86" s="148"/>
      <c r="AT86" s="148"/>
      <c r="AU86" s="5"/>
      <c r="AV86" s="5"/>
    </row>
    <row r="87" spans="1:48" ht="15.75" customHeight="1">
      <c r="A87" s="4"/>
      <c r="B87" s="4"/>
      <c r="C87" s="4"/>
      <c r="D87" s="4"/>
      <c r="E87" s="4"/>
      <c r="G87" s="4"/>
      <c r="H87" s="4"/>
      <c r="I87" s="165"/>
      <c r="J87" s="145">
        <f>IF(D52&gt;0.5,1.3654114 - 7.8903312 * D52 + 19.0024102 *D52 ^ 2 - 21.6132496 * D52 ^ 3+ 10.0580798 * D52 ^ 4 + 0.3727742 *D52 ^ 5 - 1.2460959 *D52 ^ 6,IF(D52&lt;=0.5,0.09))</f>
        <v>6.5577336979456446E-2</v>
      </c>
      <c r="K87" s="184"/>
      <c r="L87" s="107"/>
      <c r="M87" s="165"/>
      <c r="N87" s="123">
        <f>J87*$N$41</f>
        <v>543.04592752687881</v>
      </c>
      <c r="O87" s="184"/>
      <c r="P87" s="107"/>
      <c r="Q87" s="166"/>
      <c r="R87" s="123">
        <f>N87/$B$30/$D$51^2</f>
        <v>10.72683313633341</v>
      </c>
      <c r="S87" s="185"/>
      <c r="T87" s="161"/>
      <c r="U87" s="166"/>
      <c r="V87" s="126">
        <f>($B$18/$D$40)*(1-SQRT(1-2*R87/$B$18))</f>
        <v>4.5936404701528016E-3</v>
      </c>
      <c r="W87" s="185"/>
      <c r="X87" s="161"/>
      <c r="Y87" s="166"/>
      <c r="Z87" s="127">
        <f>V87*100*$D$51</f>
        <v>3.4452303526146011</v>
      </c>
      <c r="AA87" s="185"/>
      <c r="AB87" s="107"/>
      <c r="AC87" s="166"/>
      <c r="AD87" s="127">
        <f>IF(Z87&lt;=$D$60,$D$60,Z87)</f>
        <v>3.4452303526146011</v>
      </c>
      <c r="AE87" s="185"/>
      <c r="AF87" s="93"/>
      <c r="AG87" s="165"/>
      <c r="AH87" s="127">
        <f>$D$38/AD87</f>
        <v>0.18465311379517452</v>
      </c>
      <c r="AI87" s="184"/>
      <c r="AJ87" s="4"/>
      <c r="AK87" s="4"/>
      <c r="AL87" s="22"/>
      <c r="AM87" s="5"/>
      <c r="AN87" s="5"/>
      <c r="AO87" s="148"/>
      <c r="AP87" s="148"/>
      <c r="AQ87" s="148"/>
      <c r="AR87" s="148"/>
      <c r="AS87" s="148"/>
      <c r="AT87" s="148"/>
      <c r="AU87" s="5"/>
      <c r="AV87" s="5"/>
    </row>
    <row r="88" spans="1:48" ht="15.75" customHeight="1">
      <c r="A88" s="4"/>
      <c r="B88" s="4"/>
      <c r="C88" s="4"/>
      <c r="D88" s="4"/>
      <c r="E88" s="4"/>
      <c r="G88" s="4"/>
      <c r="H88" s="5"/>
      <c r="I88" s="54" t="s">
        <v>79</v>
      </c>
      <c r="J88" s="93">
        <f>D45</f>
        <v>4.5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131"/>
      <c r="AF88" s="18"/>
      <c r="AG88" s="18"/>
      <c r="AH88" s="18"/>
      <c r="AI88" s="18"/>
      <c r="AJ88" s="4"/>
      <c r="AK88" s="4"/>
      <c r="AL88" s="5"/>
      <c r="AM88" s="5"/>
      <c r="AN88" s="5"/>
      <c r="AO88" s="149"/>
      <c r="AP88" s="149"/>
      <c r="AQ88" s="149"/>
      <c r="AR88" s="149"/>
      <c r="AS88" s="149"/>
      <c r="AT88" s="149"/>
      <c r="AU88" s="150"/>
      <c r="AV88" s="151"/>
    </row>
    <row r="89" spans="1:48" ht="15.75" customHeight="1">
      <c r="A89" s="4"/>
      <c r="B89" s="4"/>
      <c r="C89" s="4"/>
      <c r="D89" s="4"/>
      <c r="E89" s="4"/>
      <c r="G89" s="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4"/>
      <c r="AU89" s="4"/>
      <c r="AV89" s="4"/>
    </row>
    <row r="90" spans="1:48" ht="15.75" customHeight="1">
      <c r="A90" s="4"/>
      <c r="B90" s="4"/>
      <c r="C90" s="4"/>
      <c r="D90" s="4"/>
      <c r="E90" s="4"/>
      <c r="G90" s="4"/>
      <c r="H90" s="5"/>
      <c r="I90" s="47" t="s">
        <v>112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45"/>
      <c r="AC90" s="45"/>
      <c r="AD90" s="70" t="s">
        <v>68</v>
      </c>
      <c r="AE90" s="5"/>
      <c r="AF90" s="5"/>
      <c r="AG90" s="5"/>
      <c r="AH90" s="45"/>
      <c r="AI90" s="45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ht="15.75" customHeight="1">
      <c r="A91" s="4"/>
      <c r="B91" s="4"/>
      <c r="C91" s="4"/>
      <c r="D91" s="4"/>
      <c r="E91" s="4"/>
      <c r="G91" s="4"/>
      <c r="H91" s="5"/>
      <c r="I91" s="45"/>
      <c r="J91" s="72" t="s">
        <v>70</v>
      </c>
      <c r="K91" s="45"/>
      <c r="L91" s="45"/>
      <c r="M91" s="45"/>
      <c r="N91" s="73" t="s">
        <v>71</v>
      </c>
      <c r="O91" s="45"/>
      <c r="P91" s="45"/>
      <c r="Q91" s="74"/>
      <c r="R91" s="75" t="s">
        <v>72</v>
      </c>
      <c r="S91" s="45"/>
      <c r="T91" s="45"/>
      <c r="U91" s="45"/>
      <c r="V91" s="73" t="s">
        <v>73</v>
      </c>
      <c r="W91" s="45"/>
      <c r="X91" s="45"/>
      <c r="Y91" s="45"/>
      <c r="Z91" s="73" t="s">
        <v>74</v>
      </c>
      <c r="AA91" s="45"/>
      <c r="AB91" s="18"/>
      <c r="AC91" s="45"/>
      <c r="AD91" s="73" t="s">
        <v>75</v>
      </c>
      <c r="AE91" s="45"/>
      <c r="AF91" s="5"/>
      <c r="AG91" s="45"/>
      <c r="AH91" s="72" t="s">
        <v>76</v>
      </c>
      <c r="AI91" s="45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ht="15.75" customHeight="1">
      <c r="A92" s="4"/>
      <c r="B92" s="4"/>
      <c r="C92" s="4"/>
      <c r="D92" s="4"/>
      <c r="E92" s="4"/>
      <c r="G92" s="4"/>
      <c r="H92" s="5"/>
      <c r="I92" s="155"/>
      <c r="J92" s="88">
        <f>IF(D52&gt;0.5,0.1325529 - 0.0393518 *D52 - 0.1221849 * D52 ^ 2 + 0.1883512 * D52 ^ 3- 0.1556538 * D52 ^ 4 + 0.0643443 * D52 ^ 5 - 0.0100579 * D52 ^ 6,IF(D52&lt;=0.5,0.098))</f>
        <v>7.5778325623728687E-2</v>
      </c>
      <c r="K92" s="177"/>
      <c r="L92" s="81"/>
      <c r="M92" s="155"/>
      <c r="N92" s="82">
        <f t="shared" ref="N92:N93" si="71">J92*$N$41</f>
        <v>627.52031449009723</v>
      </c>
      <c r="O92" s="177"/>
      <c r="P92" s="81"/>
      <c r="Q92" s="156"/>
      <c r="R92" s="82">
        <f t="shared" ref="R92:R93" si="72">N92/$B$30/$D$51^2</f>
        <v>12.395463002273527</v>
      </c>
      <c r="S92" s="178"/>
      <c r="T92" s="157"/>
      <c r="U92" s="156"/>
      <c r="V92" s="87">
        <f t="shared" ref="V92:V93" si="73">($B$18/$D$40)*(1-SQRT(1-2*R92/$B$18))</f>
        <v>5.3320137235855639E-3</v>
      </c>
      <c r="W92" s="178"/>
      <c r="X92" s="157"/>
      <c r="Y92" s="156"/>
      <c r="Z92" s="88">
        <f t="shared" ref="Z92:Z93" si="74">V92*100*$D$51</f>
        <v>3.9990102926891726</v>
      </c>
      <c r="AA92" s="178"/>
      <c r="AB92" s="179"/>
      <c r="AC92" s="156"/>
      <c r="AD92" s="88">
        <f t="shared" ref="AD92:AD93" si="75">IF(Z92&lt;=$D$60,$D$60,Z92)</f>
        <v>3.9990102926891726</v>
      </c>
      <c r="AE92" s="178"/>
      <c r="AF92" s="93"/>
      <c r="AG92" s="155"/>
      <c r="AH92" s="88">
        <f t="shared" ref="AH92:AH93" si="76">$D$38/AD92</f>
        <v>0.15908248936367025</v>
      </c>
      <c r="AI92" s="177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ht="15.75" customHeight="1">
      <c r="A93" s="4"/>
      <c r="B93" s="4"/>
      <c r="C93" s="4"/>
      <c r="D93" s="4"/>
      <c r="E93" s="4"/>
      <c r="G93" s="54" t="s">
        <v>77</v>
      </c>
      <c r="H93" s="93">
        <f>D44</f>
        <v>3.5</v>
      </c>
      <c r="I93" s="59"/>
      <c r="J93" s="95">
        <f>IF(D52&gt;0.5,0.1008733 - 0.036673 * D52 - 0.0700962 * D52 ^ 2 + 0.1080064 * D52 ^ 3- 0.0891976 * D52 ^ 4 + 0.0368338 * D52 ^ 5 - 0.0057466 * D52 ^ 6,IF(D52&lt;=0.5,0.074))</f>
        <v>5.733368247030244E-2</v>
      </c>
      <c r="K93" s="61"/>
      <c r="L93" s="97"/>
      <c r="M93" s="59"/>
      <c r="N93" s="98">
        <f t="shared" si="71"/>
        <v>474.78022453657451</v>
      </c>
      <c r="O93" s="61"/>
      <c r="P93" s="97"/>
      <c r="Q93" s="59"/>
      <c r="R93" s="98">
        <f t="shared" si="72"/>
        <v>9.3783748056607301</v>
      </c>
      <c r="S93" s="61"/>
      <c r="T93" s="97"/>
      <c r="U93" s="59"/>
      <c r="V93" s="99">
        <f t="shared" si="73"/>
        <v>4.0018614333286219E-3</v>
      </c>
      <c r="W93" s="61"/>
      <c r="X93" s="97"/>
      <c r="Y93" s="59"/>
      <c r="Z93" s="100">
        <f t="shared" si="74"/>
        <v>3.0013960749964665</v>
      </c>
      <c r="AA93" s="61"/>
      <c r="AB93" s="97"/>
      <c r="AC93" s="59"/>
      <c r="AD93" s="100">
        <f t="shared" si="75"/>
        <v>3.0013960749964665</v>
      </c>
      <c r="AE93" s="61"/>
      <c r="AF93" s="93"/>
      <c r="AG93" s="59"/>
      <c r="AH93" s="100">
        <f t="shared" si="76"/>
        <v>0.21195886729234231</v>
      </c>
      <c r="AI93" s="61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ht="15.75" customHeight="1">
      <c r="A94" s="4"/>
      <c r="B94" s="4"/>
      <c r="C94" s="4"/>
      <c r="D94" s="4"/>
      <c r="E94" s="4"/>
      <c r="G94" s="4"/>
      <c r="H94" s="4"/>
      <c r="I94" s="159">
        <v>2.9000000000000001E-2</v>
      </c>
      <c r="J94" s="141">
        <v>4.3999999999999997E-2</v>
      </c>
      <c r="K94" s="180">
        <v>2.9000000000000001E-2</v>
      </c>
      <c r="L94" s="107"/>
      <c r="M94" s="160">
        <f t="shared" ref="M94:O94" si="77">I94*$N$41</f>
        <v>240.149</v>
      </c>
      <c r="N94" s="98">
        <f t="shared" si="77"/>
        <v>364.36399999999998</v>
      </c>
      <c r="O94" s="181">
        <f t="shared" si="77"/>
        <v>240.149</v>
      </c>
      <c r="P94" s="107"/>
      <c r="Q94" s="160">
        <f t="shared" ref="Q94:S94" si="78">M94/$B$30/$D$51^2</f>
        <v>4.7436839506172843</v>
      </c>
      <c r="R94" s="98">
        <f t="shared" si="78"/>
        <v>7.197313580246913</v>
      </c>
      <c r="S94" s="181">
        <f t="shared" si="78"/>
        <v>4.7436839506172843</v>
      </c>
      <c r="T94" s="161"/>
      <c r="U94" s="162">
        <f t="shared" ref="U94:W94" si="79">($B$18/$D$40)*(1-SQRT(1-2*Q94/$B$18))</f>
        <v>2.0000659428096711E-3</v>
      </c>
      <c r="V94" s="99">
        <f t="shared" si="79"/>
        <v>3.0537353623373278E-3</v>
      </c>
      <c r="W94" s="182">
        <f t="shared" si="79"/>
        <v>2.0000659428096711E-3</v>
      </c>
      <c r="X94" s="161"/>
      <c r="Y94" s="163">
        <f t="shared" ref="Y94:AA94" si="80">U94*100*$D$51</f>
        <v>1.5000494571072533</v>
      </c>
      <c r="Z94" s="100">
        <f t="shared" si="80"/>
        <v>2.2903015217529958</v>
      </c>
      <c r="AA94" s="183">
        <f t="shared" si="80"/>
        <v>1.5000494571072533</v>
      </c>
      <c r="AB94" s="107"/>
      <c r="AC94" s="163">
        <f t="shared" ref="AC94:AE94" si="81">IF(Y94&lt;=$D$60,$D$60,Y94)</f>
        <v>2.5</v>
      </c>
      <c r="AD94" s="100">
        <f t="shared" si="81"/>
        <v>2.5</v>
      </c>
      <c r="AE94" s="183">
        <f t="shared" si="81"/>
        <v>2.5</v>
      </c>
      <c r="AF94" s="93"/>
      <c r="AG94" s="163">
        <f t="shared" ref="AG94:AI94" si="82">$D$38/AC94</f>
        <v>0.25446900494077329</v>
      </c>
      <c r="AH94" s="100">
        <f t="shared" si="82"/>
        <v>0.25446900494077329</v>
      </c>
      <c r="AI94" s="183">
        <f t="shared" si="82"/>
        <v>0.25446900494077329</v>
      </c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ht="15.75" customHeight="1">
      <c r="A95" s="4"/>
      <c r="B95" s="4"/>
      <c r="C95" s="4"/>
      <c r="D95" s="4"/>
      <c r="E95" s="4"/>
      <c r="G95" s="4"/>
      <c r="H95" s="4"/>
      <c r="I95" s="186"/>
      <c r="J95" s="168">
        <f>IF(D52&gt;0.5,0.0662835 - 0.0197277 * D52 - 0.0609405 * D52 ^ 2 + 0.0939494 * D52 ^ 3- 0.0776498 * D52 ^ 4 + 0.0321054 * D52 ^ 5 - 0.0050203 * D52 ^ 6,IF(D52&lt;=0.5,0.049))</f>
        <v>3.7889141280781871E-2</v>
      </c>
      <c r="K95" s="187"/>
      <c r="L95" s="107"/>
      <c r="M95" s="186"/>
      <c r="N95" s="170">
        <f>J95*$N$41</f>
        <v>313.75997894615466</v>
      </c>
      <c r="O95" s="187"/>
      <c r="P95" s="107"/>
      <c r="Q95" s="188"/>
      <c r="R95" s="170">
        <f>N95/$B$30/$D$51^2</f>
        <v>6.197727979183302</v>
      </c>
      <c r="S95" s="189"/>
      <c r="T95" s="161"/>
      <c r="U95" s="188"/>
      <c r="V95" s="173">
        <f>($B$18/$D$40)*(1-SQRT(1-2*R95/$B$18))</f>
        <v>2.6228534838625096E-3</v>
      </c>
      <c r="W95" s="189"/>
      <c r="X95" s="161"/>
      <c r="Y95" s="188"/>
      <c r="Z95" s="174">
        <f>V95*100*$D$51</f>
        <v>1.9671401128968822</v>
      </c>
      <c r="AA95" s="189"/>
      <c r="AB95" s="107"/>
      <c r="AC95" s="188"/>
      <c r="AD95" s="174">
        <f>IF(Z95&lt;=$D$60,$D$60,Z95)</f>
        <v>2.5</v>
      </c>
      <c r="AE95" s="189"/>
      <c r="AF95" s="93"/>
      <c r="AG95" s="186"/>
      <c r="AH95" s="174">
        <f>$D$38/AD95</f>
        <v>0.25446900494077329</v>
      </c>
      <c r="AI95" s="187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ht="15.75" customHeight="1">
      <c r="A96" s="4"/>
      <c r="B96" s="4"/>
      <c r="C96" s="4"/>
      <c r="D96" s="4"/>
      <c r="E96" s="4"/>
      <c r="G96" s="4"/>
      <c r="H96" s="5"/>
      <c r="I96" s="54" t="s">
        <v>79</v>
      </c>
      <c r="J96" s="93">
        <f>D45</f>
        <v>4.5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18"/>
      <c r="AF96" s="18"/>
      <c r="AG96" s="18"/>
      <c r="AH96" s="18"/>
      <c r="AI96" s="18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ht="15.75" customHeight="1">
      <c r="A97" s="4"/>
      <c r="B97" s="4"/>
      <c r="C97" s="4"/>
      <c r="D97" s="4"/>
      <c r="E97" s="4"/>
      <c r="G97" s="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ht="15.75" customHeight="1">
      <c r="A98" s="4"/>
      <c r="B98" s="4"/>
      <c r="C98" s="4"/>
      <c r="D98" s="4"/>
      <c r="E98" s="4"/>
      <c r="G98" s="4"/>
      <c r="H98" s="5"/>
      <c r="I98" s="47" t="s">
        <v>113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45"/>
      <c r="AC98" s="45"/>
      <c r="AD98" s="70" t="s">
        <v>68</v>
      </c>
      <c r="AE98" s="5"/>
      <c r="AF98" s="5"/>
      <c r="AG98" s="5"/>
      <c r="AH98" s="45"/>
      <c r="AI98" s="45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ht="15.75" customHeight="1">
      <c r="A99" s="4"/>
      <c r="B99" s="4"/>
      <c r="C99" s="4"/>
      <c r="D99" s="4"/>
      <c r="E99" s="4"/>
      <c r="G99" s="4"/>
      <c r="H99" s="5"/>
      <c r="I99" s="45"/>
      <c r="J99" s="72" t="s">
        <v>70</v>
      </c>
      <c r="K99" s="45"/>
      <c r="L99" s="45"/>
      <c r="M99" s="45"/>
      <c r="N99" s="73" t="s">
        <v>71</v>
      </c>
      <c r="O99" s="45"/>
      <c r="P99" s="45"/>
      <c r="Q99" s="74"/>
      <c r="R99" s="75" t="s">
        <v>72</v>
      </c>
      <c r="S99" s="77"/>
      <c r="T99" s="45"/>
      <c r="U99" s="77"/>
      <c r="V99" s="76" t="s">
        <v>73</v>
      </c>
      <c r="W99" s="77"/>
      <c r="X99" s="45"/>
      <c r="Y99" s="77"/>
      <c r="Z99" s="76" t="s">
        <v>74</v>
      </c>
      <c r="AA99" s="77"/>
      <c r="AB99" s="18"/>
      <c r="AC99" s="77"/>
      <c r="AD99" s="76" t="s">
        <v>75</v>
      </c>
      <c r="AE99" s="77"/>
      <c r="AF99" s="5"/>
      <c r="AG99" s="45"/>
      <c r="AH99" s="72" t="s">
        <v>76</v>
      </c>
      <c r="AI99" s="45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ht="15.75" customHeight="1">
      <c r="A100" s="4"/>
      <c r="B100" s="4"/>
      <c r="C100" s="4"/>
      <c r="D100" s="4"/>
      <c r="E100" s="4"/>
      <c r="G100" s="4"/>
      <c r="H100" s="5"/>
      <c r="I100" s="132"/>
      <c r="J100" s="133">
        <f>IF(D52&gt;0.5,0.0662835 - 0.0197277 * D52 - 0.0609405 * D52 ^ 2 + 0.0939494 * D52 ^ 3- 0.0776498 * D52 ^ 4 + 0.0321054 * D52 ^ 5 - 0.0050203 * D52 ^ 6,IF(D52&lt;=0.5,0.049))</f>
        <v>3.7889141280781871E-2</v>
      </c>
      <c r="K100" s="190"/>
      <c r="L100" s="81"/>
      <c r="M100" s="132"/>
      <c r="N100" s="135">
        <f t="shared" ref="N100:N101" si="83">J100*$N$41</f>
        <v>313.75997894615466</v>
      </c>
      <c r="O100" s="190"/>
      <c r="P100" s="83"/>
      <c r="Q100" s="136"/>
      <c r="R100" s="135">
        <f t="shared" ref="R100:R101" si="84">N100/$B$30/$D$51^2</f>
        <v>6.197727979183302</v>
      </c>
      <c r="S100" s="191"/>
      <c r="T100" s="86"/>
      <c r="U100" s="136"/>
      <c r="V100" s="138">
        <f t="shared" ref="V100:V101" si="85">($B$18/$D$40)*(1-SQRT(1-2*R100/$B$18))</f>
        <v>2.6228534838625096E-3</v>
      </c>
      <c r="W100" s="191"/>
      <c r="X100" s="86"/>
      <c r="Y100" s="136"/>
      <c r="Z100" s="133">
        <f t="shared" ref="Z100:Z101" si="86">V100*100*$D$51</f>
        <v>1.9671401128968822</v>
      </c>
      <c r="AA100" s="191"/>
      <c r="AB100" s="192"/>
      <c r="AC100" s="136"/>
      <c r="AD100" s="133">
        <f t="shared" ref="AD100:AD101" si="87">IF(Z100&lt;=$D$60,$D$60,Z100)</f>
        <v>2.5</v>
      </c>
      <c r="AE100" s="191"/>
      <c r="AF100" s="93"/>
      <c r="AG100" s="132"/>
      <c r="AH100" s="133">
        <f t="shared" ref="AH100:AH101" si="88">$D$38/AD100</f>
        <v>0.25446900494077329</v>
      </c>
      <c r="AI100" s="190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ht="15.75" customHeight="1">
      <c r="A101" s="4"/>
      <c r="B101" s="4"/>
      <c r="C101" s="4"/>
      <c r="D101" s="4"/>
      <c r="E101" s="4"/>
      <c r="G101" s="54" t="s">
        <v>77</v>
      </c>
      <c r="H101" s="93">
        <f>D44</f>
        <v>3.5</v>
      </c>
      <c r="I101" s="94"/>
      <c r="J101" s="95">
        <f>IF(D52&gt;0.5,0.1008733 - 0.036673 * D52 - 0.0700962 * D52 ^ 2 + 0.1080064 * D52 ^ 3- 0.0891976 * D52 ^ 4 + 0.0368338 * D52 ^ 5 - 0.0057466 * D52 ^ 6,IF(D52&lt;=0.5,0.074))</f>
        <v>5.733368247030244E-2</v>
      </c>
      <c r="K101" s="61"/>
      <c r="L101" s="97"/>
      <c r="M101" s="94"/>
      <c r="N101" s="98">
        <f t="shared" si="83"/>
        <v>474.78022453657451</v>
      </c>
      <c r="O101" s="61"/>
      <c r="P101" s="97"/>
      <c r="Q101" s="94"/>
      <c r="R101" s="98">
        <f t="shared" si="84"/>
        <v>9.3783748056607301</v>
      </c>
      <c r="S101" s="61"/>
      <c r="T101" s="97"/>
      <c r="U101" s="94"/>
      <c r="V101" s="99">
        <f t="shared" si="85"/>
        <v>4.0018614333286219E-3</v>
      </c>
      <c r="W101" s="61"/>
      <c r="X101" s="97"/>
      <c r="Y101" s="94"/>
      <c r="Z101" s="100">
        <f t="shared" si="86"/>
        <v>3.0013960749964665</v>
      </c>
      <c r="AA101" s="61"/>
      <c r="AB101" s="97"/>
      <c r="AC101" s="94"/>
      <c r="AD101" s="100">
        <f t="shared" si="87"/>
        <v>3.0013960749964665</v>
      </c>
      <c r="AE101" s="61"/>
      <c r="AF101" s="93"/>
      <c r="AG101" s="94"/>
      <c r="AH101" s="100">
        <f t="shared" si="88"/>
        <v>0.21195886729234231</v>
      </c>
      <c r="AI101" s="61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ht="15.75" customHeight="1">
      <c r="A102" s="4"/>
      <c r="B102" s="4"/>
      <c r="C102" s="4"/>
      <c r="D102" s="4"/>
      <c r="E102" s="4"/>
      <c r="G102" s="4"/>
      <c r="H102" s="4"/>
      <c r="I102" s="104">
        <v>5.8000000000000003E-2</v>
      </c>
      <c r="J102" s="141">
        <v>4.3999999999999997E-2</v>
      </c>
      <c r="K102" s="180">
        <v>2.9000000000000001E-2</v>
      </c>
      <c r="L102" s="107"/>
      <c r="M102" s="111">
        <f t="shared" ref="M102:O102" si="89">I102*$N$41</f>
        <v>480.298</v>
      </c>
      <c r="N102" s="98">
        <f t="shared" si="89"/>
        <v>364.36399999999998</v>
      </c>
      <c r="O102" s="181">
        <f t="shared" si="89"/>
        <v>240.149</v>
      </c>
      <c r="P102" s="110"/>
      <c r="Q102" s="111">
        <f t="shared" ref="Q102:S102" si="90">M102/$B$30/$D$51^2</f>
        <v>9.4873679012345686</v>
      </c>
      <c r="R102" s="98">
        <f t="shared" si="90"/>
        <v>7.197313580246913</v>
      </c>
      <c r="S102" s="181">
        <f t="shared" si="90"/>
        <v>4.7436839506172843</v>
      </c>
      <c r="T102" s="113"/>
      <c r="U102" s="114">
        <f t="shared" ref="U102:W102" si="91">($B$18/$D$40)*(1-SQRT(1-2*Q102/$B$18))</f>
        <v>4.049533003225453E-3</v>
      </c>
      <c r="V102" s="99">
        <f t="shared" si="91"/>
        <v>3.0537353623373278E-3</v>
      </c>
      <c r="W102" s="182">
        <f t="shared" si="91"/>
        <v>2.0000659428096711E-3</v>
      </c>
      <c r="X102" s="113"/>
      <c r="Y102" s="116">
        <f t="shared" ref="Y102:AA102" si="92">U102*100*$D$51</f>
        <v>3.0371497524190896</v>
      </c>
      <c r="Z102" s="100">
        <f t="shared" si="92"/>
        <v>2.2903015217529958</v>
      </c>
      <c r="AA102" s="183">
        <f t="shared" si="92"/>
        <v>1.5000494571072533</v>
      </c>
      <c r="AB102" s="110"/>
      <c r="AC102" s="116">
        <f t="shared" ref="AC102:AE102" si="93">IF(Y102&lt;=$D$60,$D$60,Y102)</f>
        <v>3.0371497524190896</v>
      </c>
      <c r="AD102" s="100">
        <f t="shared" si="93"/>
        <v>2.5</v>
      </c>
      <c r="AE102" s="183">
        <f t="shared" si="93"/>
        <v>2.5</v>
      </c>
      <c r="AF102" s="93"/>
      <c r="AG102" s="116">
        <f t="shared" ref="AG102:AI102" si="94">$D$38/AC102</f>
        <v>0.20946366304302969</v>
      </c>
      <c r="AH102" s="100">
        <f t="shared" si="94"/>
        <v>0.25446900494077329</v>
      </c>
      <c r="AI102" s="183">
        <f t="shared" si="94"/>
        <v>0.25446900494077329</v>
      </c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ht="15.75" customHeight="1">
      <c r="A103" s="4"/>
      <c r="B103" s="4"/>
      <c r="C103" s="4"/>
      <c r="D103" s="4"/>
      <c r="E103" s="4"/>
      <c r="G103" s="4"/>
      <c r="H103" s="4"/>
      <c r="I103" s="167"/>
      <c r="J103" s="168">
        <f>IF(D52&gt;0.5,0.0662835 - 0.0197277 * D52 - 0.0609405 * D52 ^ 2 + 0.0939494 * D52 ^ 3- 0.0776498 * D52 ^ 4 + 0.0321054 * D52 ^ 5 - 0.0050203 * D52 ^ 6,IF(D52&lt;=0.5,0.049))</f>
        <v>3.7889141280781871E-2</v>
      </c>
      <c r="K103" s="187"/>
      <c r="L103" s="107"/>
      <c r="M103" s="167"/>
      <c r="N103" s="170">
        <f>J103*$N$41</f>
        <v>313.75997894615466</v>
      </c>
      <c r="O103" s="187"/>
      <c r="P103" s="110"/>
      <c r="Q103" s="171"/>
      <c r="R103" s="170">
        <f>N103/$B$30/$D$51^2</f>
        <v>6.197727979183302</v>
      </c>
      <c r="S103" s="189"/>
      <c r="T103" s="113"/>
      <c r="U103" s="171"/>
      <c r="V103" s="173">
        <f>($B$18/$D$40)*(1-SQRT(1-2*R103/$B$18))</f>
        <v>2.6228534838625096E-3</v>
      </c>
      <c r="W103" s="189"/>
      <c r="X103" s="113"/>
      <c r="Y103" s="171"/>
      <c r="Z103" s="174">
        <f>V103*100*$D$51</f>
        <v>1.9671401128968822</v>
      </c>
      <c r="AA103" s="189"/>
      <c r="AB103" s="110"/>
      <c r="AC103" s="171"/>
      <c r="AD103" s="174">
        <f>IF(Z103&lt;=$D$60,$D$60,Z103)</f>
        <v>2.5</v>
      </c>
      <c r="AE103" s="189"/>
      <c r="AF103" s="93"/>
      <c r="AG103" s="167"/>
      <c r="AH103" s="174">
        <f>$D$38/AD103</f>
        <v>0.25446900494077329</v>
      </c>
      <c r="AI103" s="187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ht="15.75" customHeight="1">
      <c r="A104" s="4"/>
      <c r="B104" s="4"/>
      <c r="C104" s="4"/>
      <c r="D104" s="4"/>
      <c r="E104" s="4"/>
      <c r="G104" s="4"/>
      <c r="H104" s="5"/>
      <c r="I104" s="54" t="s">
        <v>79</v>
      </c>
      <c r="J104" s="93">
        <f>D45</f>
        <v>4.5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18"/>
      <c r="AF104" s="18"/>
      <c r="AG104" s="18"/>
      <c r="AH104" s="18"/>
      <c r="AI104" s="18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ht="15.75" customHeight="1">
      <c r="A105" s="4"/>
      <c r="B105" s="4"/>
      <c r="C105" s="4"/>
      <c r="D105" s="4"/>
      <c r="E105" s="4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ht="15.75" customHeight="1">
      <c r="A106" s="4"/>
      <c r="B106" s="4"/>
      <c r="C106" s="4"/>
      <c r="D106" s="4"/>
      <c r="E106" s="4"/>
      <c r="G106" s="4"/>
      <c r="H106" s="5"/>
      <c r="I106" s="47" t="s">
        <v>114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45"/>
      <c r="AC106" s="45"/>
      <c r="AD106" s="70" t="s">
        <v>68</v>
      </c>
      <c r="AE106" s="5"/>
      <c r="AF106" s="5"/>
      <c r="AG106" s="5"/>
      <c r="AH106" s="45"/>
      <c r="AI106" s="45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ht="15.75" customHeight="1">
      <c r="A107" s="4"/>
      <c r="B107" s="4"/>
      <c r="C107" s="4"/>
      <c r="D107" s="4"/>
      <c r="E107" s="4"/>
      <c r="G107" s="4"/>
      <c r="H107" s="5"/>
      <c r="I107" s="45"/>
      <c r="J107" s="72" t="s">
        <v>70</v>
      </c>
      <c r="K107" s="45"/>
      <c r="L107" s="45"/>
      <c r="M107" s="45"/>
      <c r="N107" s="73" t="s">
        <v>71</v>
      </c>
      <c r="O107" s="45"/>
      <c r="P107" s="45"/>
      <c r="Q107" s="74"/>
      <c r="R107" s="75" t="s">
        <v>72</v>
      </c>
      <c r="S107" s="77"/>
      <c r="T107" s="45"/>
      <c r="U107" s="77"/>
      <c r="V107" s="76" t="s">
        <v>73</v>
      </c>
      <c r="W107" s="77"/>
      <c r="X107" s="45"/>
      <c r="Y107" s="77"/>
      <c r="Z107" s="76" t="s">
        <v>74</v>
      </c>
      <c r="AA107" s="77"/>
      <c r="AB107" s="18"/>
      <c r="AC107" s="77"/>
      <c r="AD107" s="76" t="s">
        <v>75</v>
      </c>
      <c r="AE107" s="77"/>
      <c r="AF107" s="5"/>
      <c r="AG107" s="45"/>
      <c r="AH107" s="72" t="s">
        <v>76</v>
      </c>
      <c r="AI107" s="45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ht="15.75" customHeight="1">
      <c r="A108" s="4"/>
      <c r="B108" s="4"/>
      <c r="C108" s="4"/>
      <c r="D108" s="4"/>
      <c r="E108" s="4"/>
      <c r="G108" s="4"/>
      <c r="H108" s="5"/>
      <c r="I108" s="175"/>
      <c r="J108" s="133">
        <f>IF(D52&lt;=0.5,0.055,IF(D52&gt;0.8,0.0082752 + 0.2011583 * D52 - 0.2802179 * D52 ^ 2 + 0.1037844 * D52 ^ 3,IF(D52&lt;=0.8,0.0110789 - 0.1010717 * D52 + 1.2283207 * D52 ^ 2 - 2.344077 * D52 ^ 3+ 1.2861834 * D52 ^ 4)))</f>
        <v>4.3299082533150457E-2</v>
      </c>
      <c r="K108" s="190"/>
      <c r="L108" s="81"/>
      <c r="M108" s="175"/>
      <c r="N108" s="135">
        <f t="shared" ref="N108:N109" si="95">J108*$N$41</f>
        <v>358.55970245701894</v>
      </c>
      <c r="O108" s="190"/>
      <c r="P108" s="81"/>
      <c r="Q108" s="176"/>
      <c r="R108" s="135">
        <f t="shared" ref="R108:R109" si="96">N108/$B$30/$D$51^2</f>
        <v>7.0826607892744482</v>
      </c>
      <c r="S108" s="191"/>
      <c r="T108" s="157"/>
      <c r="U108" s="176"/>
      <c r="V108" s="138">
        <f t="shared" ref="V108:V109" si="97">($B$18/$D$40)*(1-SQRT(1-2*R108/$B$18))</f>
        <v>3.0041981109618482E-3</v>
      </c>
      <c r="W108" s="191"/>
      <c r="X108" s="157"/>
      <c r="Y108" s="176"/>
      <c r="Z108" s="133">
        <f t="shared" ref="Z108:Z109" si="98">V108*100*$D$51</f>
        <v>2.2531485832213862</v>
      </c>
      <c r="AA108" s="191"/>
      <c r="AB108" s="179"/>
      <c r="AC108" s="176"/>
      <c r="AD108" s="133">
        <f t="shared" ref="AD108:AD109" si="99">IF(Z108&lt;=$D$60,$D$60,Z108)</f>
        <v>2.5</v>
      </c>
      <c r="AE108" s="191"/>
      <c r="AF108" s="93"/>
      <c r="AG108" s="175"/>
      <c r="AH108" s="133">
        <f t="shared" ref="AH108:AH109" si="100">$D$38/AD108</f>
        <v>0.25446900494077329</v>
      </c>
      <c r="AI108" s="190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ht="15.75" customHeight="1">
      <c r="A109" s="4"/>
      <c r="B109" s="4"/>
      <c r="C109" s="4"/>
      <c r="D109" s="4"/>
      <c r="E109" s="4"/>
      <c r="G109" s="54" t="s">
        <v>77</v>
      </c>
      <c r="H109" s="93">
        <f>D44</f>
        <v>3.5</v>
      </c>
      <c r="I109" s="59"/>
      <c r="J109" s="95">
        <f>IF(D52&lt;=0.5,0.083,IF(D52&gt;0.8,0.020688 + 0.2637986 * D52 - 0.3724199 * D52 ^ 2 + 0.1379333 * D52 ^ 3,IF(D52&lt;=0.8,0.0415277 - 0.0913129 * D52 + 1.1413963 * D52 ^ 2 - 2.1617383 * D52 ^ 3+ 1.1519506 * D52 ^ 4)))</f>
        <v>6.5423362932479578E-2</v>
      </c>
      <c r="K109" s="61"/>
      <c r="L109" s="97"/>
      <c r="M109" s="59"/>
      <c r="N109" s="98">
        <f t="shared" si="95"/>
        <v>541.77086844386338</v>
      </c>
      <c r="O109" s="61"/>
      <c r="P109" s="97"/>
      <c r="Q109" s="59"/>
      <c r="R109" s="98">
        <f t="shared" si="96"/>
        <v>10.701646784076313</v>
      </c>
      <c r="S109" s="61"/>
      <c r="T109" s="97"/>
      <c r="U109" s="59"/>
      <c r="V109" s="99">
        <f t="shared" si="97"/>
        <v>4.5825473785203246E-3</v>
      </c>
      <c r="W109" s="61"/>
      <c r="X109" s="97"/>
      <c r="Y109" s="59"/>
      <c r="Z109" s="100">
        <f t="shared" si="98"/>
        <v>3.4369105338902437</v>
      </c>
      <c r="AA109" s="61"/>
      <c r="AB109" s="97"/>
      <c r="AC109" s="59"/>
      <c r="AD109" s="100">
        <f t="shared" si="99"/>
        <v>3.4369105338902437</v>
      </c>
      <c r="AE109" s="61"/>
      <c r="AF109" s="93"/>
      <c r="AG109" s="59"/>
      <c r="AH109" s="100">
        <f t="shared" si="100"/>
        <v>0.18510010839061575</v>
      </c>
      <c r="AI109" s="61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ht="15.75" customHeight="1">
      <c r="A110" s="4"/>
      <c r="B110" s="4"/>
      <c r="C110" s="4"/>
      <c r="D110" s="4"/>
      <c r="E110" s="4"/>
      <c r="F110" s="4"/>
      <c r="G110" s="4"/>
      <c r="H110" s="4"/>
      <c r="I110" s="159">
        <v>3.3000000000000002E-2</v>
      </c>
      <c r="J110" s="141">
        <v>0.05</v>
      </c>
      <c r="K110" s="180">
        <v>3.3000000000000002E-2</v>
      </c>
      <c r="L110" s="107"/>
      <c r="M110" s="160">
        <f t="shared" ref="M110:O110" si="101">I110*$N$41</f>
        <v>273.27300000000002</v>
      </c>
      <c r="N110" s="98">
        <f t="shared" si="101"/>
        <v>414.05</v>
      </c>
      <c r="O110" s="181">
        <f t="shared" si="101"/>
        <v>273.27300000000002</v>
      </c>
      <c r="P110" s="107"/>
      <c r="Q110" s="160">
        <f t="shared" ref="Q110:S110" si="102">M110/$B$30/$D$51^2</f>
        <v>5.3979851851851857</v>
      </c>
      <c r="R110" s="98">
        <f t="shared" si="102"/>
        <v>8.1787654320987659</v>
      </c>
      <c r="S110" s="181">
        <f t="shared" si="102"/>
        <v>5.3979851851851857</v>
      </c>
      <c r="T110" s="161"/>
      <c r="U110" s="162">
        <f t="shared" ref="U110:W110" si="103">($B$18/$D$40)*(1-SQRT(1-2*Q110/$B$18))</f>
        <v>2.2797321326303772E-3</v>
      </c>
      <c r="V110" s="99">
        <f t="shared" si="103"/>
        <v>3.479016309339074E-3</v>
      </c>
      <c r="W110" s="182">
        <f t="shared" si="103"/>
        <v>2.2797321326303772E-3</v>
      </c>
      <c r="X110" s="161"/>
      <c r="Y110" s="163">
        <f t="shared" ref="Y110:AA110" si="104">U110*100*$D$51</f>
        <v>1.7097990994727827</v>
      </c>
      <c r="Z110" s="100">
        <f t="shared" si="104"/>
        <v>2.6092622320043057</v>
      </c>
      <c r="AA110" s="183">
        <f t="shared" si="104"/>
        <v>1.7097990994727827</v>
      </c>
      <c r="AB110" s="107"/>
      <c r="AC110" s="163">
        <f t="shared" ref="AC110:AE110" si="105">IF(Y110&lt;=$D$60,$D$60,Y110)</f>
        <v>2.5</v>
      </c>
      <c r="AD110" s="100">
        <f t="shared" si="105"/>
        <v>2.6092622320043057</v>
      </c>
      <c r="AE110" s="183">
        <f t="shared" si="105"/>
        <v>2.5</v>
      </c>
      <c r="AF110" s="93"/>
      <c r="AG110" s="163">
        <f t="shared" ref="AG110:AI110" si="106">$D$38/AC110</f>
        <v>0.25446900494077329</v>
      </c>
      <c r="AH110" s="100">
        <f t="shared" si="106"/>
        <v>0.24381317621083146</v>
      </c>
      <c r="AI110" s="183">
        <f t="shared" si="106"/>
        <v>0.25446900494077329</v>
      </c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ht="15.75" customHeight="1">
      <c r="A111" s="4"/>
      <c r="B111" s="4"/>
      <c r="C111" s="4"/>
      <c r="D111" s="4"/>
      <c r="E111" s="4"/>
      <c r="F111" s="4"/>
      <c r="G111" s="4"/>
      <c r="H111" s="4"/>
      <c r="I111" s="186"/>
      <c r="J111" s="168">
        <f>IF(D52&lt;=0.5,0.055,IF(D52&gt;0.8,0.0082752 + 0.2011583 * D52 - 0.2802179 * D52 ^ 2 + 0.1037844 * D52 ^ 3,IF(D52&lt;=0.8,0.0110789 - 0.1010717 * D52 + 1.2283207 * D52 ^ 2 - 2.344077 * D52 ^ 3+ 1.2861834 * D52 ^ 4)))</f>
        <v>4.3299082533150457E-2</v>
      </c>
      <c r="K111" s="187"/>
      <c r="L111" s="107"/>
      <c r="M111" s="186"/>
      <c r="N111" s="170">
        <f>J111*$N$41</f>
        <v>358.55970245701894</v>
      </c>
      <c r="O111" s="187"/>
      <c r="P111" s="107"/>
      <c r="Q111" s="188"/>
      <c r="R111" s="170">
        <f>N111/$B$30/$D$51^2</f>
        <v>7.0826607892744482</v>
      </c>
      <c r="S111" s="189"/>
      <c r="T111" s="161"/>
      <c r="U111" s="188"/>
      <c r="V111" s="173">
        <f>($B$18/$D$40)*(1-SQRT(1-2*R111/$B$18))</f>
        <v>3.0041981109618482E-3</v>
      </c>
      <c r="W111" s="189"/>
      <c r="X111" s="161"/>
      <c r="Y111" s="188"/>
      <c r="Z111" s="174">
        <f>V111*100*$D$51</f>
        <v>2.2531485832213862</v>
      </c>
      <c r="AA111" s="189"/>
      <c r="AB111" s="107"/>
      <c r="AC111" s="188"/>
      <c r="AD111" s="174">
        <f>IF(Z111&lt;=$D$60,$D$60,Z111)</f>
        <v>2.5</v>
      </c>
      <c r="AE111" s="189"/>
      <c r="AF111" s="93"/>
      <c r="AG111" s="186"/>
      <c r="AH111" s="174">
        <f>$D$38/AD111</f>
        <v>0.25446900494077329</v>
      </c>
      <c r="AI111" s="187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ht="15.75" customHeight="1">
      <c r="A112" s="4"/>
      <c r="B112" s="4"/>
      <c r="C112" s="4"/>
      <c r="D112" s="4"/>
      <c r="E112" s="4"/>
      <c r="F112" s="4"/>
      <c r="G112" s="5"/>
      <c r="H112" s="5"/>
      <c r="I112" s="54" t="s">
        <v>79</v>
      </c>
      <c r="J112" s="93">
        <f>D45</f>
        <v>4.5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18"/>
      <c r="AF112" s="18"/>
      <c r="AG112" s="18"/>
      <c r="AH112" s="18"/>
      <c r="AI112" s="18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ht="15.75" customHeight="1">
      <c r="A113" s="4"/>
      <c r="B113" s="4"/>
      <c r="C113" s="4"/>
      <c r="D113" s="4"/>
      <c r="E113" s="4"/>
      <c r="F113" s="4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ht="15.75" customHeight="1">
      <c r="A114" s="17" t="s">
        <v>115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ht="15.75" customHeight="1">
      <c r="A115" s="23" t="s">
        <v>116</v>
      </c>
      <c r="B115" s="4"/>
      <c r="C115" s="3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ht="15.75" customHeight="1">
      <c r="A116" s="23" t="s">
        <v>59</v>
      </c>
      <c r="B116" s="4"/>
      <c r="C116" s="193">
        <f>F15</f>
        <v>3000</v>
      </c>
      <c r="D116" s="23" t="s">
        <v>12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ht="15.75" customHeight="1">
      <c r="A117" s="5" t="s">
        <v>117</v>
      </c>
      <c r="B117" s="4"/>
      <c r="C117" s="194">
        <v>0.2</v>
      </c>
      <c r="D117" s="5" t="s">
        <v>78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ht="15.75" customHeight="1">
      <c r="A118" s="5" t="s">
        <v>118</v>
      </c>
      <c r="B118" s="4"/>
      <c r="C118" s="194">
        <v>0.45</v>
      </c>
      <c r="D118" s="5" t="s">
        <v>78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ht="15.75" customHeight="1">
      <c r="A119" s="23" t="s">
        <v>119</v>
      </c>
      <c r="B119" s="4"/>
      <c r="C119" s="195">
        <v>0.05</v>
      </c>
      <c r="D119" s="5" t="s">
        <v>78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ht="15.75" customHeight="1">
      <c r="A120" s="23" t="s">
        <v>120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ht="15.75" customHeight="1">
      <c r="A121" s="31" t="s">
        <v>99</v>
      </c>
      <c r="B121" s="4"/>
      <c r="C121" s="196">
        <v>5.3280000000000003</v>
      </c>
      <c r="D121" s="23" t="s">
        <v>121</v>
      </c>
      <c r="E121" s="197" t="str">
        <f>IF(C121&lt;=G121,"&lt;","&gt;")</f>
        <v>&lt;</v>
      </c>
      <c r="F121" s="31" t="s">
        <v>122</v>
      </c>
      <c r="G121" s="198">
        <f>B30*B128</f>
        <v>15.742552499999999</v>
      </c>
      <c r="H121" s="23" t="s">
        <v>121</v>
      </c>
      <c r="I121" s="4" t="str">
        <f>IF(C121&lt;=G121,"Singly RC","Doubly RC")</f>
        <v>Singly RC</v>
      </c>
      <c r="J121" s="4"/>
      <c r="K121" s="4"/>
      <c r="L121" s="2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ht="15.75" customHeight="1">
      <c r="A122" s="31" t="s">
        <v>123</v>
      </c>
      <c r="B122" s="4"/>
      <c r="C122" s="199">
        <v>4</v>
      </c>
      <c r="D122" s="23" t="s">
        <v>124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ht="15.75" customHeight="1">
      <c r="A123" s="31"/>
      <c r="B123" s="23"/>
      <c r="C123" s="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ht="15.75" customHeight="1">
      <c r="A124" s="31" t="s">
        <v>125</v>
      </c>
      <c r="B124" s="23">
        <f>(h-C119)*100</f>
        <v>40</v>
      </c>
      <c r="C124" s="23" t="s">
        <v>62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ht="15.75" customHeight="1">
      <c r="A125" s="31" t="s">
        <v>126</v>
      </c>
      <c r="B125" s="4">
        <f>C119*100</f>
        <v>5</v>
      </c>
      <c r="C125" s="23" t="s">
        <v>62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ht="15.75" customHeight="1">
      <c r="A126" s="31" t="s">
        <v>127</v>
      </c>
      <c r="B126" s="4">
        <f>B124-B125</f>
        <v>35</v>
      </c>
      <c r="C126" s="23" t="s">
        <v>62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ht="15.75" customHeight="1">
      <c r="A127" s="31"/>
      <c r="B127" s="200"/>
      <c r="C127" s="23"/>
      <c r="D127" s="4"/>
      <c r="E127" s="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ht="15.75" customHeight="1">
      <c r="A128" s="31" t="s">
        <v>128</v>
      </c>
      <c r="B128" s="200">
        <f>Rnt*C117*B124^2/1000</f>
        <v>17.491724999999999</v>
      </c>
      <c r="C128" s="23" t="s">
        <v>121</v>
      </c>
      <c r="D128" s="201" t="s">
        <v>129</v>
      </c>
      <c r="E128" s="6"/>
      <c r="F128" s="4"/>
      <c r="G128" s="34" t="s">
        <v>23</v>
      </c>
      <c r="H128" s="57">
        <f>F23*C117*B124*C116*(B124-(N128/2))/1000</f>
        <v>17.491724999999999</v>
      </c>
      <c r="I128" s="23" t="s">
        <v>121</v>
      </c>
      <c r="J128" s="6" t="s">
        <v>130</v>
      </c>
      <c r="K128" s="4"/>
      <c r="L128" s="4"/>
      <c r="M128" s="23"/>
      <c r="N128" s="4">
        <f>F23*B124*C116/B18</f>
        <v>12.749999999999998</v>
      </c>
      <c r="O128" s="23" t="s">
        <v>62</v>
      </c>
      <c r="Q128" s="31"/>
      <c r="R128" s="57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ht="15.75" customHeight="1">
      <c r="A129" s="31" t="s">
        <v>131</v>
      </c>
      <c r="B129" s="202">
        <f>C121/pM</f>
        <v>5.92</v>
      </c>
      <c r="C129" s="23" t="s">
        <v>121</v>
      </c>
      <c r="D129" s="7"/>
      <c r="E129" s="4"/>
      <c r="F129" s="4"/>
      <c r="G129" s="2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ht="15.75" customHeight="1">
      <c r="A130" s="31" t="s">
        <v>132</v>
      </c>
      <c r="B130" s="203" t="str">
        <f>IF(B129&lt;=B128,"-",B129-B128)</f>
        <v>-</v>
      </c>
      <c r="C130" s="23" t="s">
        <v>121</v>
      </c>
      <c r="D130" s="6" t="s">
        <v>133</v>
      </c>
      <c r="E130" s="4"/>
      <c r="F130" s="4"/>
      <c r="G130" s="34"/>
      <c r="H130" s="202"/>
      <c r="I130" s="23"/>
      <c r="J130" s="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ht="15.75" customHeight="1">
      <c r="A131" s="31" t="s">
        <v>100</v>
      </c>
      <c r="B131" s="204">
        <f>IF(B129&lt;=B128,B129*1000/b/B124^2,"-")</f>
        <v>18.5</v>
      </c>
      <c r="C131" s="23" t="s">
        <v>12</v>
      </c>
      <c r="D131" s="6" t="s">
        <v>134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ht="15.75" customHeight="1">
      <c r="A132" s="31" t="s">
        <v>102</v>
      </c>
      <c r="B132" s="205">
        <f>IF(B129&lt;=B128,(B18/C116)*(1-SQRT(1-(2*B131/B18))),"-")</f>
        <v>6.4749373561202002E-3</v>
      </c>
      <c r="C132" s="4"/>
      <c r="D132" s="6" t="s">
        <v>135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ht="15.75" customHeight="1">
      <c r="A133" s="31" t="s">
        <v>136</v>
      </c>
      <c r="B133" s="205">
        <f>IF(B132&gt;F24,B132,F24)</f>
        <v>6.4749373561202002E-3</v>
      </c>
      <c r="C133" s="58"/>
      <c r="D133" s="6" t="s">
        <v>137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ht="15.75" customHeight="1">
      <c r="A134" s="31" t="s">
        <v>138</v>
      </c>
      <c r="B134" s="202" t="str">
        <f>IF(B129&lt;=B128,"-",F23*C117*100*B124)</f>
        <v>-</v>
      </c>
      <c r="C134" s="58" t="s">
        <v>52</v>
      </c>
      <c r="D134" s="6" t="s">
        <v>139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ht="15.75" customHeight="1">
      <c r="A135" s="31" t="s">
        <v>140</v>
      </c>
      <c r="B135" s="202" t="str">
        <f>IF(B129&lt;=B128,"-",B130*1000*100/C116/B126)</f>
        <v>-</v>
      </c>
      <c r="C135" s="58" t="s">
        <v>52</v>
      </c>
      <c r="D135" s="6" t="s">
        <v>141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ht="15.75" customHeight="1">
      <c r="A136" s="31" t="s">
        <v>142</v>
      </c>
      <c r="B136" s="206" t="str">
        <f>IF(B129&lt;=B128,"-", 6000*(1-(C119*100/0.375/B124)))</f>
        <v>-</v>
      </c>
      <c r="C136" s="23" t="s">
        <v>12</v>
      </c>
      <c r="D136" s="6" t="s">
        <v>143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ht="15.75" customHeight="1">
      <c r="A137" s="31" t="s">
        <v>144</v>
      </c>
      <c r="B137" s="203" t="str">
        <f>IF(B129&lt;=B128,"-",IF(B136&lt;C116,B136,C116))</f>
        <v>-</v>
      </c>
      <c r="C137" s="23" t="s">
        <v>12</v>
      </c>
      <c r="D137" s="6" t="s">
        <v>145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ht="15.75" customHeight="1">
      <c r="A138" s="31" t="s">
        <v>146</v>
      </c>
      <c r="B138" s="207">
        <f>IF(B129&lt;=B128,B133*b*100*B124,B134+B135)</f>
        <v>5.1799498848961605</v>
      </c>
      <c r="C138" s="58" t="s">
        <v>52</v>
      </c>
      <c r="D138" s="23" t="s">
        <v>147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ht="15.75" customHeight="1">
      <c r="A139" s="31" t="s">
        <v>148</v>
      </c>
      <c r="B139" s="207" t="str">
        <f>IF(B129&lt;=B128,"-",B135*C116/B137)</f>
        <v>-</v>
      </c>
      <c r="C139" s="58" t="s">
        <v>52</v>
      </c>
      <c r="D139" s="6" t="s">
        <v>149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ht="15.75" customHeight="1">
      <c r="A140" s="5"/>
      <c r="B140" s="208"/>
      <c r="C140" s="209"/>
      <c r="D140" s="210"/>
      <c r="E140" s="2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ht="15.75" customHeight="1">
      <c r="A141" s="23" t="s">
        <v>150</v>
      </c>
      <c r="B141" s="4"/>
      <c r="C141" s="4"/>
      <c r="D141" s="4"/>
      <c r="E141" s="211">
        <v>6</v>
      </c>
      <c r="F141" s="5" t="s">
        <v>47</v>
      </c>
      <c r="G141" s="93"/>
      <c r="H141" s="212">
        <v>1</v>
      </c>
      <c r="I141" s="5" t="s">
        <v>151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ht="15.75" customHeight="1">
      <c r="A142" s="5" t="s">
        <v>152</v>
      </c>
      <c r="B142" s="4"/>
      <c r="C142" s="4"/>
      <c r="D142" s="4"/>
      <c r="E142" s="57">
        <f>2*PI()*(E141/10)^2/4</f>
        <v>0.56548667764616278</v>
      </c>
      <c r="F142" s="209" t="s">
        <v>52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ht="15.75" customHeight="1">
      <c r="A143" s="213" t="s">
        <v>153</v>
      </c>
      <c r="B143" s="57">
        <f>E142*H141</f>
        <v>0.56548667764616278</v>
      </c>
      <c r="C143" s="209" t="s">
        <v>52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ht="15.75" customHeight="1">
      <c r="A144" s="23" t="s">
        <v>154</v>
      </c>
      <c r="B144" s="214">
        <f>B15</f>
        <v>2400</v>
      </c>
      <c r="C144" s="23" t="s">
        <v>12</v>
      </c>
      <c r="D144" s="6"/>
      <c r="E144" s="6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ht="15.75" customHeight="1">
      <c r="A145" s="23" t="s">
        <v>155</v>
      </c>
      <c r="B145" s="57">
        <f>0.53*SQRT(fcu)*b*100*B124/1000</f>
        <v>6.5685797551677796</v>
      </c>
      <c r="C145" s="23" t="s">
        <v>124</v>
      </c>
      <c r="D145" s="6" t="s">
        <v>156</v>
      </c>
      <c r="E145" s="6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ht="15.75" customHeight="1">
      <c r="A146" s="23" t="s">
        <v>157</v>
      </c>
      <c r="B146" s="202">
        <f>C122/pV</f>
        <v>4.7058823529411766</v>
      </c>
      <c r="C146" s="23" t="s">
        <v>124</v>
      </c>
      <c r="D146" s="4"/>
      <c r="E146" s="6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ht="15.75" customHeight="1">
      <c r="A147" s="23" t="s">
        <v>158</v>
      </c>
      <c r="B147" s="202">
        <f>IF(B146&lt;=B145,0,B146-B145)</f>
        <v>0</v>
      </c>
      <c r="C147" s="23" t="s">
        <v>124</v>
      </c>
      <c r="D147" s="23" t="s">
        <v>159</v>
      </c>
      <c r="E147" s="6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ht="18.75">
      <c r="A148" s="23" t="s">
        <v>160</v>
      </c>
      <c r="B148" s="202" t="str">
        <f>IF(B147=0,"-",1.1*SQRT(fcu)*b*100*B124/1000)</f>
        <v>-</v>
      </c>
      <c r="C148" s="23" t="s">
        <v>124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ht="18.75">
      <c r="A149" s="23" t="s">
        <v>161</v>
      </c>
      <c r="B149" s="200" t="str">
        <f>IF(B147=0,"-", 2.2*SQRT(fcu)*b*100*B124/1000)</f>
        <v>-</v>
      </c>
      <c r="C149" s="23" t="s">
        <v>124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ht="15.75" customHeight="1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ht="15.75" customHeight="1">
      <c r="A151" s="5" t="s">
        <v>162</v>
      </c>
      <c r="B151" s="4"/>
      <c r="C151" s="4"/>
      <c r="D151" s="215" t="s">
        <v>163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ht="18.75">
      <c r="A152" s="23" t="s">
        <v>164</v>
      </c>
      <c r="B152" s="216">
        <f>B143*B144/3.5/b/100/100</f>
        <v>0.19388114662154152</v>
      </c>
      <c r="C152" s="23" t="s">
        <v>78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ht="15.75" customHeight="1">
      <c r="A153" s="23" t="s">
        <v>165</v>
      </c>
      <c r="B153" s="217" t="str">
        <f>IF(B147&gt;0,B143*B144*B124/B147/1000/100,"-")</f>
        <v>-</v>
      </c>
      <c r="C153" s="5" t="s">
        <v>78</v>
      </c>
      <c r="D153" s="4"/>
      <c r="E153" s="6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ht="15.75" customHeight="1">
      <c r="A154" s="4" t="str">
        <f>IF(B147&lt;B148,"d/2","d/4")</f>
        <v>d/2</v>
      </c>
      <c r="B154" s="217">
        <f>IF(B147&lt;B148,B124/200,B124/400)</f>
        <v>0.2</v>
      </c>
      <c r="C154" s="5" t="s">
        <v>78</v>
      </c>
      <c r="D154" s="6" t="s">
        <v>166</v>
      </c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ht="15.75" customHeight="1">
      <c r="A155" s="23" t="s">
        <v>167</v>
      </c>
      <c r="B155" s="218">
        <f>IF(B147&lt;B148,0.6,0.3)</f>
        <v>0.6</v>
      </c>
      <c r="C155" s="5" t="s">
        <v>78</v>
      </c>
      <c r="D155" s="219" t="s">
        <v>168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ht="15.75" customHeight="1">
      <c r="A156" s="1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ht="15.75" customHeight="1">
      <c r="A157" s="1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ht="15.75" customHeight="1">
      <c r="A158" s="1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ht="15.75" customHeight="1">
      <c r="A159" s="19" t="s">
        <v>169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ht="15.75" customHeight="1">
      <c r="A160" s="23" t="s">
        <v>170</v>
      </c>
      <c r="B160" s="4"/>
      <c r="C160" s="4"/>
      <c r="D160" s="32">
        <f>B18</f>
        <v>204</v>
      </c>
      <c r="E160" s="5" t="s">
        <v>12</v>
      </c>
      <c r="F160" s="4"/>
      <c r="G160" s="4"/>
      <c r="H160" s="4"/>
      <c r="I160" s="19" t="s">
        <v>171</v>
      </c>
      <c r="J160" s="220" t="s">
        <v>172</v>
      </c>
      <c r="K160" s="19" t="s">
        <v>173</v>
      </c>
      <c r="L160" s="19" t="s">
        <v>174</v>
      </c>
      <c r="M160" s="220" t="s">
        <v>175</v>
      </c>
      <c r="N160" s="220" t="s">
        <v>105</v>
      </c>
      <c r="O160" s="220" t="s">
        <v>176</v>
      </c>
      <c r="P160" s="17"/>
      <c r="Q160" s="19" t="s">
        <v>177</v>
      </c>
      <c r="R160" s="4"/>
      <c r="S160" s="4"/>
      <c r="T160" s="4"/>
      <c r="U160" s="4"/>
      <c r="V160" s="4"/>
      <c r="W160" s="4"/>
      <c r="X160" s="4"/>
      <c r="Y160" s="4"/>
      <c r="Z160" s="4"/>
      <c r="AA160" s="322"/>
      <c r="AB160" s="318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ht="15.75" customHeight="1">
      <c r="A161" s="23" t="s">
        <v>15</v>
      </c>
      <c r="B161" s="4"/>
      <c r="C161" s="4"/>
      <c r="D161" s="222">
        <f>F15</f>
        <v>3000</v>
      </c>
      <c r="E161" s="23" t="s">
        <v>12</v>
      </c>
      <c r="F161" s="4"/>
      <c r="G161" s="4"/>
      <c r="H161" s="4"/>
      <c r="J161" s="93">
        <v>12</v>
      </c>
      <c r="K161" s="223">
        <f t="shared" ref="K161:K164" si="107">PI()*(J161/10)^2/4</f>
        <v>1.1309733552923256</v>
      </c>
      <c r="L161" s="224">
        <f t="shared" ref="L161:L164" si="108">INT($D$170/K161)+1</f>
        <v>6</v>
      </c>
      <c r="M161" s="225">
        <v>6</v>
      </c>
      <c r="N161" s="223">
        <f t="shared" ref="N161:N164" si="109">M161*K161</f>
        <v>6.7858401317539538</v>
      </c>
      <c r="O161" s="226">
        <f t="shared" ref="O161:O164" si="110">N161/$D$167</f>
        <v>1.0857344210806327E-2</v>
      </c>
      <c r="P161" s="57"/>
      <c r="Q161" s="57">
        <f t="shared" ref="Q161:Q164" si="111">$D$166*0.8*($D$160*($D$167-N161)+$D$161*N161)/1000</f>
        <v>82.024997044695056</v>
      </c>
      <c r="W161" s="17"/>
      <c r="X161" s="17"/>
      <c r="Y161" s="17"/>
      <c r="Z161" s="17"/>
      <c r="AA161" s="221"/>
      <c r="AB161" s="221"/>
      <c r="AC161" s="221"/>
      <c r="AD161" s="221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1:48" ht="15.75" customHeight="1">
      <c r="A162" s="5" t="s">
        <v>178</v>
      </c>
      <c r="B162" s="4"/>
      <c r="C162" s="4"/>
      <c r="D162" s="195">
        <v>0.25</v>
      </c>
      <c r="E162" s="5" t="s">
        <v>78</v>
      </c>
      <c r="F162" s="4"/>
      <c r="G162" s="4"/>
      <c r="H162" s="4"/>
      <c r="J162" s="93">
        <v>16</v>
      </c>
      <c r="K162" s="223">
        <f t="shared" si="107"/>
        <v>2.0106192982974678</v>
      </c>
      <c r="L162" s="224">
        <f t="shared" si="108"/>
        <v>4</v>
      </c>
      <c r="M162" s="225">
        <v>4</v>
      </c>
      <c r="N162" s="223">
        <f t="shared" si="109"/>
        <v>8.0424771931898711</v>
      </c>
      <c r="O162" s="226">
        <f t="shared" si="110"/>
        <v>1.2867963509103793E-2</v>
      </c>
      <c r="P162" s="57"/>
      <c r="Q162" s="57">
        <f t="shared" si="111"/>
        <v>83.992589090008963</v>
      </c>
      <c r="W162" s="57"/>
      <c r="X162" s="57"/>
      <c r="Y162" s="5"/>
      <c r="Z162" s="4"/>
      <c r="AA162" s="227"/>
      <c r="AB162" s="228"/>
      <c r="AC162" s="223"/>
      <c r="AD162" s="35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 spans="1:48" ht="15.75" customHeight="1">
      <c r="A163" s="5" t="s">
        <v>179</v>
      </c>
      <c r="B163" s="4"/>
      <c r="C163" s="4"/>
      <c r="D163" s="195">
        <v>0.25</v>
      </c>
      <c r="E163" s="5" t="s">
        <v>78</v>
      </c>
      <c r="F163" s="4"/>
      <c r="G163" s="4"/>
      <c r="H163" s="4"/>
      <c r="J163" s="93">
        <v>20</v>
      </c>
      <c r="K163" s="223">
        <f t="shared" si="107"/>
        <v>3.1415926535897931</v>
      </c>
      <c r="L163" s="224">
        <f t="shared" si="108"/>
        <v>2</v>
      </c>
      <c r="M163" s="225">
        <v>4</v>
      </c>
      <c r="N163" s="223">
        <f t="shared" si="109"/>
        <v>12.566370614359172</v>
      </c>
      <c r="O163" s="226">
        <f t="shared" si="110"/>
        <v>2.0106192982974676E-2</v>
      </c>
      <c r="P163" s="57"/>
      <c r="Q163" s="57">
        <f t="shared" si="111"/>
        <v>91.07592045313902</v>
      </c>
      <c r="W163" s="57"/>
      <c r="X163" s="57"/>
      <c r="Y163" s="5"/>
      <c r="Z163" s="4"/>
      <c r="AA163" s="227"/>
      <c r="AB163" s="228"/>
      <c r="AC163" s="223"/>
      <c r="AD163" s="35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 spans="1:48" ht="15.75" customHeight="1">
      <c r="A164" s="23" t="s">
        <v>180</v>
      </c>
      <c r="B164" s="4"/>
      <c r="C164" s="4"/>
      <c r="D164" s="229">
        <v>46.625</v>
      </c>
      <c r="E164" s="5" t="s">
        <v>124</v>
      </c>
      <c r="F164" s="4"/>
      <c r="G164" s="4"/>
      <c r="H164" s="4"/>
      <c r="J164" s="93">
        <v>25</v>
      </c>
      <c r="K164" s="223">
        <f t="shared" si="107"/>
        <v>4.908738521234052</v>
      </c>
      <c r="L164" s="224">
        <f t="shared" si="108"/>
        <v>2</v>
      </c>
      <c r="M164" s="225">
        <v>4</v>
      </c>
      <c r="N164" s="223">
        <f t="shared" si="109"/>
        <v>19.634954084936208</v>
      </c>
      <c r="O164" s="226">
        <f t="shared" si="110"/>
        <v>3.1415926535897934E-2</v>
      </c>
      <c r="P164" s="57"/>
      <c r="Q164" s="57">
        <f t="shared" si="111"/>
        <v>102.1436257080297</v>
      </c>
      <c r="W164" s="57"/>
      <c r="X164" s="57"/>
      <c r="Y164" s="5"/>
      <c r="Z164" s="4"/>
      <c r="AA164" s="227"/>
      <c r="AB164" s="228"/>
      <c r="AC164" s="223"/>
      <c r="AD164" s="35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 spans="1:48" ht="15.75" customHeight="1">
      <c r="A165" s="5"/>
      <c r="B165" s="4"/>
      <c r="C165" s="4"/>
      <c r="D165" s="230"/>
      <c r="E165" s="5"/>
      <c r="F165" s="4"/>
      <c r="G165" s="4"/>
      <c r="H165" s="4"/>
      <c r="I165" s="4"/>
      <c r="J165" s="4"/>
      <c r="K165" s="4"/>
      <c r="L165" s="4"/>
      <c r="M165" s="4"/>
      <c r="W165" s="57"/>
      <c r="X165" s="57"/>
      <c r="Y165" s="5"/>
      <c r="Z165" s="4"/>
      <c r="AA165" s="227"/>
      <c r="AB165" s="228"/>
      <c r="AC165" s="223"/>
      <c r="AD165" s="35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 spans="1:48" ht="15.75" customHeight="1">
      <c r="A166" s="23" t="s">
        <v>38</v>
      </c>
      <c r="B166" s="4"/>
      <c r="C166" s="4"/>
      <c r="D166" s="33">
        <f>B32</f>
        <v>0.7</v>
      </c>
      <c r="F166" s="4"/>
      <c r="G166" s="4"/>
      <c r="H166" s="4"/>
      <c r="I166" s="19" t="s">
        <v>181</v>
      </c>
      <c r="J166" s="220" t="s">
        <v>182</v>
      </c>
      <c r="K166" s="220" t="s">
        <v>183</v>
      </c>
      <c r="L166" s="221" t="s">
        <v>184</v>
      </c>
      <c r="M166" s="220" t="s">
        <v>185</v>
      </c>
      <c r="N166" s="221" t="s">
        <v>186</v>
      </c>
      <c r="O166" s="220" t="s">
        <v>187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 spans="1:48" ht="15.75" customHeight="1">
      <c r="A167" s="23" t="s">
        <v>188</v>
      </c>
      <c r="B167" s="4"/>
      <c r="C167" s="4"/>
      <c r="D167" s="4">
        <f>D162*D163*10000</f>
        <v>625</v>
      </c>
      <c r="E167" s="58" t="s">
        <v>52</v>
      </c>
      <c r="F167" s="4"/>
      <c r="G167" s="4"/>
      <c r="H167" s="4"/>
      <c r="J167" s="93">
        <v>6</v>
      </c>
      <c r="K167" s="93">
        <f t="shared" ref="K167:K170" si="112">J161</f>
        <v>12</v>
      </c>
      <c r="L167" s="223">
        <f t="shared" ref="L167:L170" si="113">16*K167/10/100</f>
        <v>0.192</v>
      </c>
      <c r="M167" s="93">
        <f t="shared" ref="M167:M170" si="114">48*J167/1000</f>
        <v>0.28799999999999998</v>
      </c>
      <c r="N167" s="223">
        <f t="shared" ref="N167:N170" si="115">$D$162</f>
        <v>0.25</v>
      </c>
      <c r="O167" s="231">
        <f t="shared" ref="O167:O170" si="116">MIN(L167:N167)</f>
        <v>0.192</v>
      </c>
      <c r="P167" s="4"/>
      <c r="R167" s="4"/>
      <c r="S167" s="4"/>
      <c r="T167" s="4"/>
      <c r="U167" s="4"/>
      <c r="V167" s="4"/>
      <c r="W167" s="4"/>
      <c r="X167" s="4"/>
      <c r="Y167" s="4"/>
      <c r="Z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 spans="1:48" ht="15.75" customHeight="1">
      <c r="A168" s="5" t="s">
        <v>189</v>
      </c>
      <c r="B168" s="4"/>
      <c r="C168" s="4"/>
      <c r="D168" s="57">
        <f>0.01*D167</f>
        <v>6.25</v>
      </c>
      <c r="E168" s="209" t="s">
        <v>52</v>
      </c>
      <c r="F168" s="4"/>
      <c r="G168" s="4"/>
      <c r="H168" s="4"/>
      <c r="J168" s="93">
        <v>9</v>
      </c>
      <c r="K168" s="93">
        <f t="shared" si="112"/>
        <v>16</v>
      </c>
      <c r="L168" s="223">
        <f t="shared" si="113"/>
        <v>0.25600000000000001</v>
      </c>
      <c r="M168" s="93">
        <f t="shared" si="114"/>
        <v>0.432</v>
      </c>
      <c r="N168" s="223">
        <f t="shared" si="115"/>
        <v>0.25</v>
      </c>
      <c r="O168" s="231">
        <f t="shared" si="116"/>
        <v>0.25</v>
      </c>
      <c r="P168" s="4"/>
      <c r="R168" s="4"/>
      <c r="S168" s="4"/>
      <c r="T168" s="4"/>
      <c r="U168" s="4"/>
      <c r="V168" s="4"/>
      <c r="W168" s="4"/>
      <c r="X168" s="4"/>
      <c r="Y168" s="4"/>
      <c r="Z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 spans="1:48" ht="15.75" customHeight="1">
      <c r="A169" s="5" t="s">
        <v>190</v>
      </c>
      <c r="B169" s="4"/>
      <c r="C169" s="4"/>
      <c r="D169" s="57">
        <f>((D164*1000/D166/0.8)-D160*D167)/(D161-D160)</f>
        <v>-15.822986920089926</v>
      </c>
      <c r="E169" s="209" t="s">
        <v>52</v>
      </c>
      <c r="F169" s="6" t="s">
        <v>496</v>
      </c>
      <c r="G169" s="4"/>
      <c r="H169" s="4"/>
      <c r="J169" s="34">
        <v>9</v>
      </c>
      <c r="K169" s="93">
        <f t="shared" si="112"/>
        <v>20</v>
      </c>
      <c r="L169" s="223">
        <f t="shared" si="113"/>
        <v>0.32</v>
      </c>
      <c r="M169" s="93">
        <f t="shared" si="114"/>
        <v>0.432</v>
      </c>
      <c r="N169" s="223">
        <f t="shared" si="115"/>
        <v>0.25</v>
      </c>
      <c r="O169" s="231">
        <f t="shared" si="116"/>
        <v>0.25</v>
      </c>
      <c r="P169" s="4"/>
      <c r="R169" s="4"/>
      <c r="S169" s="4"/>
      <c r="T169" s="4"/>
      <c r="U169" s="4"/>
      <c r="V169" s="4"/>
      <c r="W169" s="4"/>
      <c r="X169" s="4"/>
      <c r="Y169" s="4"/>
      <c r="Z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 spans="1:48" ht="15.75" customHeight="1">
      <c r="A170" s="5" t="s">
        <v>191</v>
      </c>
      <c r="B170" s="4"/>
      <c r="C170" s="4"/>
      <c r="D170" s="198">
        <f>IF(D169&gt;D168,D169,IF(D169&lt;=D168,D168))</f>
        <v>6.25</v>
      </c>
      <c r="E170" s="209" t="s">
        <v>52</v>
      </c>
      <c r="F170" s="4"/>
      <c r="G170" s="4"/>
      <c r="H170" s="4"/>
      <c r="J170" s="34">
        <v>10</v>
      </c>
      <c r="K170" s="93">
        <f t="shared" si="112"/>
        <v>25</v>
      </c>
      <c r="L170" s="223">
        <f t="shared" si="113"/>
        <v>0.4</v>
      </c>
      <c r="M170" s="223">
        <f t="shared" si="114"/>
        <v>0.48</v>
      </c>
      <c r="N170" s="223">
        <f t="shared" si="115"/>
        <v>0.25</v>
      </c>
      <c r="O170" s="231">
        <f t="shared" si="116"/>
        <v>0.25</v>
      </c>
      <c r="P170" s="4"/>
      <c r="R170" s="4"/>
      <c r="S170" s="4"/>
      <c r="T170" s="4"/>
      <c r="U170" s="4"/>
      <c r="V170" s="4"/>
      <c r="W170" s="4"/>
      <c r="X170" s="4"/>
      <c r="Y170" s="4"/>
      <c r="Z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1:48" ht="15.75" customHeight="1">
      <c r="A171" s="5"/>
      <c r="B171" s="4"/>
      <c r="C171" s="4"/>
      <c r="D171" s="214"/>
      <c r="E171" s="5"/>
      <c r="F171" s="4"/>
      <c r="G171" s="4"/>
      <c r="H171" s="4"/>
      <c r="J171" s="4"/>
      <c r="P171" s="4"/>
      <c r="R171" s="4"/>
      <c r="S171" s="4"/>
      <c r="T171" s="4"/>
      <c r="U171" s="4"/>
      <c r="V171" s="4"/>
      <c r="W171" s="4"/>
      <c r="X171" s="4"/>
      <c r="Y171" s="4"/>
      <c r="Z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 spans="1:48" ht="15.75" customHeight="1">
      <c r="P172" s="4"/>
      <c r="R172" s="4"/>
      <c r="S172" s="4"/>
      <c r="T172" s="4"/>
      <c r="U172" s="4"/>
      <c r="V172" s="4"/>
      <c r="W172" s="4"/>
      <c r="X172" s="4"/>
      <c r="Y172" s="4"/>
      <c r="Z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 spans="1:48" ht="15.75" customHeight="1">
      <c r="A173" s="17" t="s">
        <v>192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 spans="1:48" ht="15.75" customHeight="1">
      <c r="A174" s="5" t="s">
        <v>11</v>
      </c>
      <c r="B174" s="4"/>
      <c r="C174" s="4"/>
      <c r="D174" s="232">
        <f>B13</f>
        <v>240</v>
      </c>
      <c r="E174" s="5" t="s">
        <v>12</v>
      </c>
      <c r="F174" s="4"/>
      <c r="G174" s="4"/>
      <c r="H174" s="4"/>
      <c r="I174" s="4"/>
      <c r="J174" s="4"/>
      <c r="K174" s="4"/>
      <c r="L174" s="4"/>
      <c r="M174" s="19" t="s">
        <v>193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 spans="1:48" ht="15.75" customHeight="1">
      <c r="A175" s="23" t="s">
        <v>194</v>
      </c>
      <c r="B175" s="4"/>
      <c r="C175" s="4"/>
      <c r="D175" s="233">
        <f>B18</f>
        <v>204</v>
      </c>
      <c r="E175" s="23" t="s">
        <v>12</v>
      </c>
      <c r="F175" s="6" t="s">
        <v>18</v>
      </c>
      <c r="G175" s="4"/>
      <c r="H175" s="4"/>
      <c r="I175" s="4"/>
      <c r="J175" s="4"/>
      <c r="K175" s="4"/>
      <c r="L175" s="4"/>
      <c r="M175" s="23" t="s">
        <v>195</v>
      </c>
      <c r="N175" s="4"/>
      <c r="O175" s="57">
        <f>2.4*D200^2*D223</f>
        <v>0.53999999999999992</v>
      </c>
      <c r="P175" s="5" t="s">
        <v>124</v>
      </c>
      <c r="Q175" s="63" t="s">
        <v>196</v>
      </c>
      <c r="R175" s="4"/>
      <c r="S175" s="4"/>
      <c r="T175" s="4"/>
      <c r="U175" s="4"/>
      <c r="V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 spans="1:48" ht="15.75" customHeight="1">
      <c r="A176" s="23" t="s">
        <v>15</v>
      </c>
      <c r="B176" s="4"/>
      <c r="C176" s="4"/>
      <c r="D176" s="234">
        <f>F15</f>
        <v>3000</v>
      </c>
      <c r="E176" s="23" t="s">
        <v>12</v>
      </c>
      <c r="F176" s="4"/>
      <c r="G176" s="4"/>
      <c r="H176" s="4"/>
      <c r="I176" s="4"/>
      <c r="J176" s="4"/>
      <c r="K176" s="4"/>
      <c r="L176" s="4"/>
      <c r="M176" s="23" t="s">
        <v>197</v>
      </c>
      <c r="N176" s="4"/>
      <c r="O176" s="198">
        <f>D189+O175</f>
        <v>6.7949999999999999</v>
      </c>
      <c r="P176" s="5" t="s">
        <v>124</v>
      </c>
      <c r="Q176" s="6" t="s">
        <v>198</v>
      </c>
      <c r="R176" s="4"/>
      <c r="S176" s="4"/>
      <c r="T176" s="4"/>
      <c r="U176" s="4"/>
      <c r="V176" s="4"/>
      <c r="X176" s="4"/>
      <c r="Y176" s="4"/>
      <c r="Z176" s="4"/>
      <c r="AA176" s="4"/>
      <c r="AB176" s="4"/>
      <c r="AC176" s="4"/>
      <c r="AD176" s="4"/>
      <c r="AE176" s="23"/>
      <c r="AF176" s="23"/>
      <c r="AG176" s="23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48" ht="15.75" customHeight="1">
      <c r="A177" s="5"/>
      <c r="B177" s="4"/>
      <c r="C177" s="4"/>
      <c r="D177" s="140"/>
      <c r="E177" s="5"/>
      <c r="F177" s="4"/>
      <c r="G177" s="4"/>
      <c r="H177" s="4"/>
      <c r="I177" s="4"/>
      <c r="J177" s="4"/>
      <c r="K177" s="4"/>
      <c r="L177" s="4"/>
      <c r="M177" s="23" t="s">
        <v>199</v>
      </c>
      <c r="N177" s="4"/>
      <c r="O177" s="57">
        <f>B33*O175</f>
        <v>0.75599999999999989</v>
      </c>
      <c r="P177" s="23" t="s">
        <v>124</v>
      </c>
      <c r="Q177" s="23" t="s">
        <v>200</v>
      </c>
      <c r="R177" s="4"/>
      <c r="S177" s="4"/>
      <c r="T177" s="4"/>
      <c r="U177" s="4"/>
      <c r="V177" s="4"/>
      <c r="X177" s="4"/>
      <c r="Y177" s="4"/>
      <c r="Z177" s="4"/>
      <c r="AA177" s="4"/>
      <c r="AB177" s="4"/>
      <c r="AC177" s="4"/>
      <c r="AD177" s="4"/>
      <c r="AE177" s="23"/>
      <c r="AF177" s="23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 spans="1:48" ht="15.75" customHeight="1">
      <c r="A178" s="23" t="s">
        <v>27</v>
      </c>
      <c r="B178" s="4"/>
      <c r="C178" s="4"/>
      <c r="D178" s="235">
        <f>F23</f>
        <v>2.1674999999999996E-2</v>
      </c>
      <c r="E178" s="5"/>
      <c r="F178" s="4"/>
      <c r="G178" s="4"/>
      <c r="H178" s="4"/>
      <c r="I178" s="4"/>
      <c r="J178" s="4"/>
      <c r="K178" s="4"/>
      <c r="L178" s="4"/>
      <c r="M178" s="23" t="s">
        <v>201</v>
      </c>
      <c r="N178" s="4"/>
      <c r="O178" s="198">
        <f>D193+O177</f>
        <v>9.8570000000000011</v>
      </c>
      <c r="P178" s="23" t="s">
        <v>124</v>
      </c>
      <c r="Q178" s="6" t="s">
        <v>202</v>
      </c>
      <c r="R178" s="4"/>
      <c r="S178" s="4"/>
      <c r="T178" s="4"/>
      <c r="U178" s="4"/>
      <c r="V178" s="4"/>
      <c r="X178" s="4"/>
      <c r="Y178" s="4"/>
      <c r="Z178" s="4"/>
      <c r="AA178" s="4"/>
      <c r="AB178" s="4"/>
      <c r="AC178" s="4"/>
      <c r="AD178" s="4"/>
      <c r="AE178" s="23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 spans="1:48" ht="15.75" customHeight="1">
      <c r="A179" s="23" t="s">
        <v>31</v>
      </c>
      <c r="B179" s="4"/>
      <c r="C179" s="4"/>
      <c r="D179" s="235">
        <f>F25</f>
        <v>2E-3</v>
      </c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 spans="1:48" ht="15.75" customHeight="1">
      <c r="A180" s="23" t="s">
        <v>21</v>
      </c>
      <c r="B180" s="4"/>
      <c r="C180" s="4"/>
      <c r="D180" s="236">
        <f>B20</f>
        <v>54.66164062499999</v>
      </c>
      <c r="E180" s="5" t="s">
        <v>12</v>
      </c>
      <c r="F180" s="4"/>
      <c r="G180" s="4"/>
      <c r="H180" s="4"/>
      <c r="I180" s="4"/>
      <c r="J180" s="4"/>
      <c r="K180" s="4"/>
      <c r="L180" s="4"/>
      <c r="M180" s="19" t="s">
        <v>203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 spans="1:48" ht="15.75" customHeight="1">
      <c r="A181" s="23" t="s">
        <v>34</v>
      </c>
      <c r="B181" s="4"/>
      <c r="C181" s="4"/>
      <c r="D181" s="237">
        <f t="shared" ref="D181:D182" si="117">B30</f>
        <v>0.9</v>
      </c>
      <c r="E181" s="5"/>
      <c r="F181" s="238"/>
      <c r="G181" s="4"/>
      <c r="H181" s="4"/>
      <c r="I181" s="4"/>
      <c r="J181" s="4"/>
      <c r="K181" s="4"/>
      <c r="L181" s="4"/>
      <c r="M181" s="23" t="s">
        <v>204</v>
      </c>
      <c r="N181" s="4"/>
      <c r="O181" s="198">
        <f>O176/D200^2</f>
        <v>6.7949999999999999</v>
      </c>
      <c r="P181" s="23" t="s">
        <v>205</v>
      </c>
      <c r="Q181" s="6" t="s">
        <v>206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 spans="1:48" ht="15.75" customHeight="1">
      <c r="A182" s="23" t="s">
        <v>36</v>
      </c>
      <c r="B182" s="4"/>
      <c r="C182" s="4"/>
      <c r="D182" s="236">
        <f t="shared" si="117"/>
        <v>0.85</v>
      </c>
      <c r="E182" s="5"/>
      <c r="F182" s="239"/>
      <c r="G182" s="4"/>
      <c r="H182" s="4"/>
      <c r="I182" s="4"/>
      <c r="J182" s="4"/>
      <c r="K182" s="4"/>
      <c r="L182" s="4"/>
      <c r="M182" s="31" t="s">
        <v>207</v>
      </c>
      <c r="N182" s="240" t="str">
        <f>IF(O181&lt;=D198,"&lt;","&gt;")</f>
        <v>&lt;</v>
      </c>
      <c r="O182" s="23" t="s">
        <v>208</v>
      </c>
      <c r="P182" s="241" t="str">
        <f>IF(O181&lt;=D198,"ผ่าน","ไม่ผ่าน")</f>
        <v>ผ่าน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 spans="1:48" ht="15.75" customHeight="1">
      <c r="A183" s="5" t="s">
        <v>209</v>
      </c>
      <c r="B183" s="4"/>
      <c r="C183" s="4"/>
      <c r="D183" s="242">
        <f>0.53*SQRT(D174)</f>
        <v>8.2107246939597243</v>
      </c>
      <c r="E183" s="5" t="s">
        <v>12</v>
      </c>
      <c r="F183" s="239" t="s">
        <v>210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 spans="1:48" ht="15.75" customHeight="1">
      <c r="A184" s="5"/>
      <c r="B184" s="4"/>
      <c r="C184" s="4"/>
      <c r="D184" s="243">
        <f>D183*10000</f>
        <v>82107.246939597244</v>
      </c>
      <c r="E184" s="5" t="s">
        <v>211</v>
      </c>
      <c r="F184" s="5"/>
      <c r="G184" s="4"/>
      <c r="H184" s="4"/>
      <c r="I184" s="4"/>
      <c r="J184" s="4"/>
      <c r="K184" s="4"/>
      <c r="L184" s="4"/>
      <c r="M184" s="19" t="s">
        <v>212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 spans="1:48" ht="15.75" customHeight="1">
      <c r="A185" s="23" t="s">
        <v>213</v>
      </c>
      <c r="B185" s="4"/>
      <c r="C185" s="4"/>
      <c r="D185" s="242">
        <f>SQRT(D174)</f>
        <v>15.491933384829668</v>
      </c>
      <c r="E185" s="5" t="s">
        <v>12</v>
      </c>
      <c r="F185" s="6" t="s">
        <v>214</v>
      </c>
      <c r="G185" s="4"/>
      <c r="H185" s="4"/>
      <c r="I185" s="4"/>
      <c r="J185" s="4"/>
      <c r="K185" s="4"/>
      <c r="L185" s="4"/>
      <c r="M185" s="23" t="s">
        <v>215</v>
      </c>
      <c r="O185" s="198">
        <f>O178*1000/D200^2/1000</f>
        <v>9.8570000000000011</v>
      </c>
      <c r="P185" s="23" t="s">
        <v>205</v>
      </c>
      <c r="Q185" s="23" t="s">
        <v>216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 spans="1:48" ht="15.75" customHeight="1">
      <c r="A186" s="5"/>
      <c r="B186" s="4"/>
      <c r="C186" s="4"/>
      <c r="D186" s="243">
        <f>D185*10000</f>
        <v>154919.33384829669</v>
      </c>
      <c r="E186" s="5" t="s">
        <v>211</v>
      </c>
      <c r="F186" s="4"/>
      <c r="G186" s="4"/>
      <c r="H186" s="4"/>
      <c r="I186" s="4"/>
      <c r="J186" s="4"/>
      <c r="K186" s="4"/>
      <c r="L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 spans="1:48" ht="15.75" customHeight="1">
      <c r="A187" s="5"/>
      <c r="B187" s="4"/>
      <c r="C187" s="4"/>
      <c r="D187" s="236"/>
      <c r="E187" s="5"/>
      <c r="F187" s="4"/>
      <c r="G187" s="4"/>
      <c r="H187" s="4"/>
      <c r="I187" s="4"/>
      <c r="J187" s="4"/>
      <c r="K187" s="4"/>
      <c r="L187" s="4"/>
      <c r="M187" s="19" t="s">
        <v>217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 spans="1:48" ht="15.75" customHeight="1">
      <c r="A188" s="23" t="s">
        <v>218</v>
      </c>
      <c r="B188" s="4"/>
      <c r="C188" s="4"/>
      <c r="D188" s="244">
        <v>0.25</v>
      </c>
      <c r="E188" s="5" t="s">
        <v>78</v>
      </c>
      <c r="F188" s="6" t="s">
        <v>219</v>
      </c>
      <c r="G188" s="4"/>
      <c r="H188" s="4"/>
      <c r="I188" s="4"/>
      <c r="J188" s="4"/>
      <c r="K188" s="4"/>
      <c r="L188" s="4"/>
      <c r="M188" s="31" t="s">
        <v>220</v>
      </c>
      <c r="O188" s="245">
        <f>D182*D184*D200*D222/1000</f>
        <v>10.468673984798649</v>
      </c>
      <c r="P188" s="246" t="s">
        <v>124</v>
      </c>
      <c r="Q188" s="247" t="s">
        <v>221</v>
      </c>
      <c r="R188" s="7"/>
      <c r="U188" s="19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 spans="1:48" ht="15.75" customHeight="1">
      <c r="A189" s="23" t="s">
        <v>222</v>
      </c>
      <c r="B189" s="4"/>
      <c r="C189" s="4"/>
      <c r="D189" s="21">
        <v>6.2549999999999999</v>
      </c>
      <c r="E189" s="5" t="s">
        <v>124</v>
      </c>
      <c r="F189" s="4"/>
      <c r="G189" s="4"/>
      <c r="H189" s="4"/>
      <c r="I189" s="4"/>
      <c r="J189" s="4"/>
      <c r="K189" s="4"/>
      <c r="L189" s="4"/>
      <c r="M189" s="248" t="s">
        <v>223</v>
      </c>
      <c r="O189" s="245">
        <f>O185*(0.5*D200*(D200-D188-2*D222))</f>
        <v>2.2178250000000004</v>
      </c>
      <c r="P189" s="23" t="s">
        <v>124</v>
      </c>
      <c r="Q189" s="249" t="s">
        <v>224</v>
      </c>
      <c r="R189" s="250"/>
      <c r="U189" s="31"/>
      <c r="W189" s="214"/>
      <c r="X189" s="23"/>
      <c r="Y189" s="249"/>
      <c r="Z189" s="57"/>
      <c r="AA189" s="57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 spans="1:48" ht="15.75" customHeight="1">
      <c r="A190" s="5" t="s">
        <v>225</v>
      </c>
      <c r="B190" s="4"/>
      <c r="C190" s="4"/>
      <c r="D190" s="21">
        <v>20</v>
      </c>
      <c r="E190" s="5" t="s">
        <v>226</v>
      </c>
      <c r="F190" s="4"/>
      <c r="G190" s="4"/>
      <c r="H190" s="4"/>
      <c r="I190" s="4"/>
      <c r="J190" s="4"/>
      <c r="K190" s="4"/>
      <c r="L190" s="4"/>
      <c r="M190" s="31" t="s">
        <v>223</v>
      </c>
      <c r="N190" s="240" t="str">
        <f>IF(O189&lt;=O188,"&lt;","&gt;")</f>
        <v>&lt;</v>
      </c>
      <c r="O190" s="246" t="s">
        <v>220</v>
      </c>
      <c r="P190" s="241" t="str">
        <f>IF(O189&lt;=O188,"ผ่าน","ไม่ผ่าน")</f>
        <v>ผ่าน</v>
      </c>
      <c r="Q190" s="214"/>
      <c r="R190" s="214"/>
      <c r="U190" s="31"/>
      <c r="W190" s="214"/>
      <c r="X190" s="23"/>
      <c r="Y190" s="249"/>
      <c r="Z190" s="57"/>
      <c r="AA190" s="57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 spans="1:48" ht="15.75" customHeight="1">
      <c r="A191" s="5" t="s">
        <v>227</v>
      </c>
      <c r="B191" s="4"/>
      <c r="C191" s="4"/>
      <c r="D191" s="242">
        <f>D189*D190/100</f>
        <v>1.2509999999999999</v>
      </c>
      <c r="E191" s="5" t="s">
        <v>124</v>
      </c>
      <c r="F191" s="4"/>
      <c r="G191" s="4"/>
      <c r="H191" s="4"/>
      <c r="I191" s="4"/>
      <c r="J191" s="4"/>
      <c r="K191" s="4"/>
      <c r="L191" s="4"/>
      <c r="M191" s="31"/>
      <c r="O191" s="224"/>
      <c r="P191" s="246"/>
      <c r="Q191" s="247"/>
      <c r="R191" s="7"/>
      <c r="U191" s="31"/>
      <c r="V191" s="240"/>
      <c r="W191" s="23"/>
      <c r="X191" s="241"/>
      <c r="Y191" s="4"/>
      <c r="Z191" s="4"/>
      <c r="AA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 spans="1:48" ht="15.75" customHeight="1">
      <c r="A192" s="23" t="s">
        <v>228</v>
      </c>
      <c r="B192" s="4"/>
      <c r="C192" s="4"/>
      <c r="D192" s="251">
        <f>D189+D191</f>
        <v>7.5060000000000002</v>
      </c>
      <c r="E192" s="5" t="s">
        <v>124</v>
      </c>
      <c r="F192" s="6" t="s">
        <v>229</v>
      </c>
      <c r="G192" s="4"/>
      <c r="H192" s="4"/>
      <c r="I192" s="4"/>
      <c r="J192" s="252"/>
      <c r="K192" s="4"/>
      <c r="L192" s="4"/>
      <c r="M192" s="19" t="s">
        <v>230</v>
      </c>
      <c r="Q192" s="4"/>
      <c r="R192" s="4"/>
      <c r="S192" s="4"/>
      <c r="W192" s="57"/>
      <c r="X192" s="57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 spans="1:48" ht="15.75" customHeight="1">
      <c r="A193" s="23" t="s">
        <v>231</v>
      </c>
      <c r="B193" s="4"/>
      <c r="C193" s="4"/>
      <c r="D193" s="21">
        <v>9.1010000000000009</v>
      </c>
      <c r="E193" s="23" t="s">
        <v>124</v>
      </c>
      <c r="F193" s="4"/>
      <c r="G193" s="4"/>
      <c r="H193" s="4"/>
      <c r="I193" s="4"/>
      <c r="J193" s="4"/>
      <c r="K193" s="4"/>
      <c r="L193" s="4"/>
      <c r="M193" s="31" t="s">
        <v>232</v>
      </c>
      <c r="O193" s="198">
        <f>D182*D186*(4*D222^2+4*D188*D222)/1000</f>
        <v>31.603544105052524</v>
      </c>
      <c r="P193" s="23" t="s">
        <v>124</v>
      </c>
      <c r="Q193" s="249" t="s">
        <v>233</v>
      </c>
      <c r="R193" s="57"/>
      <c r="S193" s="57"/>
      <c r="W193" s="57"/>
      <c r="X193" s="57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 spans="1:48" ht="15.75" customHeight="1">
      <c r="A194" s="23" t="s">
        <v>234</v>
      </c>
      <c r="B194" s="4"/>
      <c r="C194" s="4"/>
      <c r="D194" s="242">
        <f>B33*D191</f>
        <v>1.7513999999999996</v>
      </c>
      <c r="E194" s="23" t="s">
        <v>124</v>
      </c>
      <c r="F194" s="23" t="s">
        <v>235</v>
      </c>
      <c r="G194" s="4"/>
      <c r="H194" s="4"/>
      <c r="I194" s="4"/>
      <c r="J194" s="4"/>
      <c r="K194" s="4"/>
      <c r="L194" s="4"/>
      <c r="M194" s="31" t="s">
        <v>236</v>
      </c>
      <c r="O194" s="198">
        <f>O185*(D200^2-(D222+D188)^2)</f>
        <v>8.2798800000000004</v>
      </c>
      <c r="P194" s="23" t="s">
        <v>124</v>
      </c>
      <c r="Q194" s="249" t="s">
        <v>237</v>
      </c>
      <c r="R194" s="57"/>
      <c r="S194" s="57"/>
      <c r="W194" s="57"/>
      <c r="X194" s="57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 spans="1:48" ht="15.75" customHeight="1">
      <c r="A195" s="23" t="s">
        <v>238</v>
      </c>
      <c r="B195" s="4"/>
      <c r="C195" s="4"/>
      <c r="D195" s="251">
        <f>D193+D194</f>
        <v>10.852400000000001</v>
      </c>
      <c r="E195" s="23" t="s">
        <v>124</v>
      </c>
      <c r="F195" s="6" t="s">
        <v>239</v>
      </c>
      <c r="G195" s="4"/>
      <c r="H195" s="4"/>
      <c r="I195" s="4"/>
      <c r="J195" s="4"/>
      <c r="K195" s="4"/>
      <c r="L195" s="4"/>
      <c r="M195" s="31" t="s">
        <v>236</v>
      </c>
      <c r="N195" s="240" t="str">
        <f>IF(O194&lt;=O193,"&lt;","&gt;")</f>
        <v>&lt;</v>
      </c>
      <c r="O195" s="23" t="s">
        <v>232</v>
      </c>
      <c r="P195" s="241" t="str">
        <f>IF(O194&lt;=O193,"ผ่าน","ไม่ผ่าน")</f>
        <v>ผ่าน</v>
      </c>
      <c r="Q195" s="4"/>
      <c r="R195" s="4"/>
      <c r="S195" s="4"/>
      <c r="W195" s="57"/>
      <c r="X195" s="57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 spans="1:48" ht="15.75" customHeight="1">
      <c r="A196" s="5"/>
      <c r="B196" s="4"/>
      <c r="C196" s="4"/>
      <c r="D196" s="140"/>
      <c r="E196" s="5"/>
      <c r="F196" s="4"/>
      <c r="G196" s="4"/>
      <c r="H196" s="4"/>
      <c r="I196" s="4"/>
      <c r="J196" s="4"/>
      <c r="K196" s="4"/>
      <c r="L196" s="4"/>
      <c r="Q196" s="214"/>
      <c r="R196" s="214"/>
      <c r="S196" s="214"/>
      <c r="W196" s="57"/>
      <c r="X196" s="57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 spans="1:48" ht="15.75" customHeight="1">
      <c r="A197" s="19" t="s">
        <v>240</v>
      </c>
      <c r="B197" s="4"/>
      <c r="C197" s="4"/>
      <c r="D197" s="140"/>
      <c r="E197" s="5"/>
      <c r="F197" s="4"/>
      <c r="G197" s="4"/>
      <c r="H197" s="4"/>
      <c r="I197" s="4"/>
      <c r="J197" s="4"/>
      <c r="K197" s="4"/>
      <c r="L197" s="4"/>
      <c r="M197" s="253" t="s">
        <v>241</v>
      </c>
      <c r="Q197" s="57"/>
      <c r="R197" s="57"/>
      <c r="W197" s="57"/>
      <c r="X197" s="57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 spans="1:48" ht="15.75" customHeight="1">
      <c r="A198" s="23" t="s">
        <v>242</v>
      </c>
      <c r="B198" s="4"/>
      <c r="C198" s="4"/>
      <c r="D198" s="194">
        <v>10</v>
      </c>
      <c r="E198" s="5" t="s">
        <v>205</v>
      </c>
      <c r="F198" s="63"/>
      <c r="G198" s="4"/>
      <c r="J198" s="4"/>
      <c r="K198" s="4"/>
      <c r="L198" s="4"/>
      <c r="M198" s="31" t="s">
        <v>122</v>
      </c>
      <c r="O198" s="198">
        <f>D181*D180*D200*(D222*100)^2/1000</f>
        <v>11.068982226562497</v>
      </c>
      <c r="P198" s="23" t="s">
        <v>121</v>
      </c>
      <c r="Q198" s="249" t="s">
        <v>243</v>
      </c>
      <c r="R198" s="57"/>
      <c r="T198" s="221"/>
      <c r="U198" s="4"/>
      <c r="W198" s="57"/>
      <c r="X198" s="57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 spans="1:48" ht="15.75" customHeight="1">
      <c r="A199" s="5" t="s">
        <v>244</v>
      </c>
      <c r="B199" s="4"/>
      <c r="C199" s="4"/>
      <c r="D199" s="254">
        <f>SQRT(D192/D198)</f>
        <v>0.86637174469161915</v>
      </c>
      <c r="E199" s="5" t="s">
        <v>78</v>
      </c>
      <c r="F199" s="6" t="s">
        <v>245</v>
      </c>
      <c r="G199" s="4"/>
      <c r="J199" s="4"/>
      <c r="K199" s="4"/>
      <c r="L199" s="4"/>
      <c r="M199" s="31" t="s">
        <v>99</v>
      </c>
      <c r="O199" s="198">
        <f>O185*D200*(D200-D188)^2/8</f>
        <v>0.69307031250000006</v>
      </c>
      <c r="P199" s="23" t="s">
        <v>121</v>
      </c>
      <c r="Q199" s="23" t="s">
        <v>246</v>
      </c>
      <c r="R199" s="57"/>
      <c r="T199" s="4"/>
      <c r="U199" s="4"/>
      <c r="V199" s="4"/>
      <c r="W199" s="4"/>
      <c r="X199" s="4"/>
      <c r="Y199" s="4"/>
      <c r="Z199" s="4"/>
      <c r="AA199" s="4"/>
      <c r="AB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 spans="1:48" ht="15.75" customHeight="1">
      <c r="A200" s="5" t="s">
        <v>247</v>
      </c>
      <c r="B200" s="4"/>
      <c r="C200" s="4"/>
      <c r="D200" s="194">
        <v>1</v>
      </c>
      <c r="E200" s="5" t="s">
        <v>78</v>
      </c>
      <c r="F200" s="5" t="s">
        <v>248</v>
      </c>
      <c r="G200" s="4"/>
      <c r="J200" s="4"/>
      <c r="K200" s="4"/>
      <c r="L200" s="4"/>
      <c r="M200" s="31" t="s">
        <v>99</v>
      </c>
      <c r="N200" s="240" t="str">
        <f>IF(O199&lt;=O198,"&lt;","&gt;")</f>
        <v>&lt;</v>
      </c>
      <c r="O200" s="246" t="s">
        <v>122</v>
      </c>
      <c r="P200" s="241" t="str">
        <f>IF(O199&lt;=O198,"ผ่าน","ไม่ผ่าน")</f>
        <v>ผ่าน</v>
      </c>
      <c r="Q200" s="57"/>
      <c r="R200" s="57"/>
      <c r="T200" s="4"/>
      <c r="U200" s="4"/>
      <c r="V200" s="4"/>
      <c r="W200" s="4"/>
      <c r="X200" s="4"/>
      <c r="Y200" s="4"/>
      <c r="Z200" s="4"/>
      <c r="AA200" s="4"/>
      <c r="AB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 spans="1:48" ht="15.75" customHeight="1">
      <c r="A201" s="23" t="s">
        <v>249</v>
      </c>
      <c r="B201" s="4"/>
      <c r="D201" s="229">
        <v>7.4999999999999997E-2</v>
      </c>
      <c r="E201" s="5" t="s">
        <v>78</v>
      </c>
      <c r="F201" s="6" t="s">
        <v>250</v>
      </c>
      <c r="G201" s="4"/>
      <c r="H201" s="4"/>
      <c r="J201" s="4"/>
      <c r="K201" s="4"/>
      <c r="L201" s="4"/>
      <c r="Q201" s="93"/>
      <c r="R201" s="93"/>
      <c r="S201" s="93"/>
      <c r="T201" s="4"/>
      <c r="U201" s="4"/>
      <c r="V201" s="4"/>
      <c r="W201" s="4"/>
      <c r="X201" s="4"/>
      <c r="Y201" s="4"/>
      <c r="Z201" s="4"/>
      <c r="AA201" s="4"/>
      <c r="AB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 spans="1:48" ht="15.75" customHeight="1">
      <c r="M202" s="17" t="s">
        <v>251</v>
      </c>
      <c r="N202" s="4"/>
      <c r="O202" s="4"/>
      <c r="P202" s="4"/>
      <c r="Q202" s="57"/>
      <c r="R202" s="57"/>
      <c r="T202" s="214"/>
      <c r="U202" s="214"/>
      <c r="V202" s="214"/>
      <c r="W202" s="214"/>
      <c r="X202" s="214"/>
      <c r="Y202" s="5"/>
      <c r="Z202" s="63"/>
      <c r="AA202" s="63"/>
      <c r="AB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 spans="1:48" ht="15.75" customHeight="1">
      <c r="A203" s="19" t="s">
        <v>252</v>
      </c>
      <c r="I203" s="4"/>
      <c r="J203" s="63"/>
      <c r="M203" s="31" t="s">
        <v>100</v>
      </c>
      <c r="N203" s="4"/>
      <c r="O203" s="32">
        <f>O199*1000/D181/D200/(D222*100)^2</f>
        <v>3.422569444444445</v>
      </c>
      <c r="P203" s="193" t="s">
        <v>12</v>
      </c>
      <c r="Q203" s="23" t="s">
        <v>253</v>
      </c>
      <c r="R203" s="4"/>
      <c r="T203" s="214"/>
      <c r="U203" s="33"/>
      <c r="V203" s="214"/>
      <c r="W203" s="214"/>
      <c r="X203" s="214"/>
      <c r="Y203" s="5"/>
      <c r="Z203" s="63"/>
      <c r="AA203" s="63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 spans="1:48" ht="15.75" customHeight="1">
      <c r="A204" s="23" t="s">
        <v>254</v>
      </c>
      <c r="B204" s="4"/>
      <c r="D204" s="23">
        <v>30</v>
      </c>
      <c r="E204" s="23" t="s">
        <v>62</v>
      </c>
      <c r="F204" s="6" t="s">
        <v>255</v>
      </c>
      <c r="M204" s="31" t="s">
        <v>102</v>
      </c>
      <c r="N204" s="4"/>
      <c r="O204" s="36">
        <f>(D175/D176)*(1-SQRT(1-(2*O203/D175)))</f>
        <v>1.150590739195622E-3</v>
      </c>
      <c r="P204" s="214"/>
      <c r="Q204" s="23" t="s">
        <v>256</v>
      </c>
      <c r="R204" s="4"/>
      <c r="T204" s="214"/>
      <c r="U204" s="214"/>
      <c r="V204" s="214"/>
      <c r="W204" s="214"/>
      <c r="X204" s="214"/>
      <c r="Y204" s="5"/>
      <c r="Z204" s="63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 spans="1:48" ht="15.75" customHeight="1">
      <c r="A205" s="23" t="s">
        <v>257</v>
      </c>
      <c r="D205" s="30">
        <v>12</v>
      </c>
      <c r="E205" s="23" t="s">
        <v>47</v>
      </c>
      <c r="H205" s="4"/>
      <c r="M205" s="31" t="s">
        <v>258</v>
      </c>
      <c r="N205" s="4"/>
      <c r="O205" s="57">
        <f>O204*D200*D222*10000</f>
        <v>1.7258861087934327</v>
      </c>
      <c r="P205" s="193" t="s">
        <v>259</v>
      </c>
      <c r="Q205" s="23" t="s">
        <v>260</v>
      </c>
      <c r="R205" s="4"/>
      <c r="T205" s="214"/>
      <c r="U205" s="214"/>
      <c r="V205" s="214"/>
      <c r="W205" s="214"/>
      <c r="X205" s="214"/>
      <c r="Y205" s="5"/>
      <c r="Z205" s="63"/>
      <c r="AA205" s="93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 spans="1:48" ht="15.75" customHeight="1">
      <c r="B206" s="31" t="s">
        <v>261</v>
      </c>
      <c r="D206" s="57">
        <f>PI()*(D205/10)^2/4</f>
        <v>1.1309733552923256</v>
      </c>
      <c r="E206" s="23" t="s">
        <v>259</v>
      </c>
      <c r="H206" s="4"/>
      <c r="M206" s="31" t="s">
        <v>262</v>
      </c>
      <c r="N206" s="4"/>
      <c r="O206" s="57">
        <f>F25*D200*D223*10000</f>
        <v>4.5</v>
      </c>
      <c r="P206" s="255" t="s">
        <v>259</v>
      </c>
      <c r="Q206" s="23" t="s">
        <v>263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 spans="1:48" ht="15.75" customHeight="1">
      <c r="A207" s="23" t="s">
        <v>264</v>
      </c>
      <c r="B207" s="4"/>
      <c r="D207" s="256">
        <f>IF(D176*(D205/10)/13.3/SQRT(D174)&gt;30,D176*(D205/10)/13.3/SQRT(D174),30)</f>
        <v>30</v>
      </c>
      <c r="E207" s="23" t="s">
        <v>62</v>
      </c>
      <c r="F207" s="23" t="s">
        <v>265</v>
      </c>
      <c r="G207" s="4"/>
      <c r="H207" s="4"/>
      <c r="M207" s="31" t="s">
        <v>266</v>
      </c>
      <c r="O207" s="57">
        <f>IF(O205&gt;=O206,O205,O206)</f>
        <v>4.5</v>
      </c>
      <c r="P207" s="23" t="s">
        <v>259</v>
      </c>
      <c r="Q207" s="23" t="s">
        <v>267</v>
      </c>
      <c r="R207" s="4"/>
      <c r="S207" s="4"/>
      <c r="T207" s="57"/>
      <c r="U207" s="57"/>
      <c r="V207" s="57"/>
      <c r="W207" s="57"/>
      <c r="X207" s="57"/>
      <c r="Y207" s="5"/>
      <c r="Z207" s="63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 spans="1:48" ht="15.75" customHeight="1">
      <c r="A208" s="23" t="s">
        <v>268</v>
      </c>
      <c r="B208" s="4"/>
      <c r="D208" s="256">
        <f>((D200-D188)/2 - D201)*100</f>
        <v>30</v>
      </c>
      <c r="E208" s="23" t="s">
        <v>62</v>
      </c>
      <c r="F208" s="23" t="s">
        <v>269</v>
      </c>
      <c r="G208" s="4"/>
      <c r="H208" s="4"/>
      <c r="T208" s="57"/>
      <c r="U208" s="57"/>
      <c r="V208" s="57"/>
      <c r="W208" s="57"/>
      <c r="X208" s="57"/>
      <c r="Y208" s="5"/>
      <c r="Z208" s="63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 spans="1:48" ht="15.75" customHeight="1">
      <c r="B209" s="31" t="s">
        <v>270</v>
      </c>
      <c r="C209" s="240" t="str">
        <f>IF(D208&gt;=D207,"&gt;=","&lt;")</f>
        <v>&gt;=</v>
      </c>
      <c r="D209" s="23" t="s">
        <v>271</v>
      </c>
      <c r="E209" s="241" t="str">
        <f>IF(D207&lt;=D208,"ผ่าน","ไม่ผ่าน")</f>
        <v>ผ่าน</v>
      </c>
      <c r="F209" s="23" t="s">
        <v>272</v>
      </c>
      <c r="M209" s="221" t="s">
        <v>273</v>
      </c>
      <c r="N209" s="220" t="s">
        <v>274</v>
      </c>
      <c r="O209" s="221" t="s">
        <v>275</v>
      </c>
      <c r="P209" s="221" t="s">
        <v>175</v>
      </c>
      <c r="Q209" s="221" t="s">
        <v>276</v>
      </c>
      <c r="R209" s="257" t="s">
        <v>102</v>
      </c>
      <c r="S209" s="258" t="s">
        <v>277</v>
      </c>
      <c r="T209" s="6" t="s">
        <v>278</v>
      </c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214"/>
      <c r="AF209" s="5"/>
      <c r="AG209" s="63"/>
      <c r="AH209" s="221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 spans="1:48" ht="15.75" customHeight="1">
      <c r="M210" s="93">
        <v>12</v>
      </c>
      <c r="N210" s="259">
        <f t="shared" ref="N210:N213" si="118">PI()*(M210/10)^2/4</f>
        <v>1.1309733552923256</v>
      </c>
      <c r="O210" s="260">
        <f t="shared" ref="O210:O213" si="119">$O$207/N210</f>
        <v>3.9788735772973833</v>
      </c>
      <c r="P210" s="211">
        <v>14</v>
      </c>
      <c r="Q210" s="223">
        <f t="shared" ref="Q210:Q213" si="120">N210*P210</f>
        <v>15.833626974092558</v>
      </c>
      <c r="R210" s="261">
        <f t="shared" ref="R210:R213" si="121">Q210/$D$200/$D$222/10000</f>
        <v>1.0555751316061707E-2</v>
      </c>
      <c r="S210" s="223">
        <f t="shared" ref="S210:S213" si="122">($D$200-2*$D$201)/(P210-1)</f>
        <v>6.5384615384615388E-2</v>
      </c>
      <c r="T210" s="93"/>
      <c r="U210" s="93"/>
      <c r="V210" s="93"/>
      <c r="W210" s="93"/>
      <c r="X210" s="93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 spans="1:48" ht="15.75" customHeight="1">
      <c r="A211" s="19" t="s">
        <v>279</v>
      </c>
      <c r="H211" s="4"/>
      <c r="I211" s="4"/>
      <c r="J211" s="4"/>
      <c r="K211" s="4"/>
      <c r="L211" s="4"/>
      <c r="M211" s="93">
        <v>16</v>
      </c>
      <c r="N211" s="259">
        <f t="shared" si="118"/>
        <v>2.0106192982974678</v>
      </c>
      <c r="O211" s="260">
        <f t="shared" si="119"/>
        <v>2.2381163872297782</v>
      </c>
      <c r="P211" s="211">
        <v>8</v>
      </c>
      <c r="Q211" s="223">
        <f t="shared" si="120"/>
        <v>16.084954386379742</v>
      </c>
      <c r="R211" s="261">
        <f t="shared" si="121"/>
        <v>1.0723302924253161E-2</v>
      </c>
      <c r="S211" s="223">
        <f t="shared" si="122"/>
        <v>0.12142857142857143</v>
      </c>
      <c r="T211" s="57"/>
      <c r="U211" s="57"/>
      <c r="V211" s="57"/>
      <c r="W211" s="57"/>
      <c r="X211" s="57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 spans="1:48" ht="15.75" customHeight="1">
      <c r="A212" s="23" t="s">
        <v>280</v>
      </c>
      <c r="B212" s="4"/>
      <c r="C212" s="4"/>
      <c r="D212" s="214">
        <f>(D195/D200^2)*1000</f>
        <v>10852.400000000001</v>
      </c>
      <c r="E212" s="5" t="s">
        <v>211</v>
      </c>
      <c r="F212" s="6" t="s">
        <v>281</v>
      </c>
      <c r="H212" s="4"/>
      <c r="I212" s="4"/>
      <c r="J212" s="4"/>
      <c r="K212" s="4"/>
      <c r="L212" s="4"/>
      <c r="M212" s="93">
        <v>20</v>
      </c>
      <c r="N212" s="259">
        <f t="shared" si="118"/>
        <v>3.1415926535897931</v>
      </c>
      <c r="O212" s="260">
        <f t="shared" si="119"/>
        <v>1.432394487827058</v>
      </c>
      <c r="P212" s="211">
        <v>6</v>
      </c>
      <c r="Q212" s="223">
        <f t="shared" si="120"/>
        <v>18.849555921538759</v>
      </c>
      <c r="R212" s="261">
        <f t="shared" si="121"/>
        <v>1.2566370614359173E-2</v>
      </c>
      <c r="S212" s="223">
        <f t="shared" si="122"/>
        <v>0.16999999999999998</v>
      </c>
      <c r="T212" s="57"/>
      <c r="U212" s="57"/>
      <c r="V212" s="57"/>
      <c r="W212" s="57"/>
      <c r="X212" s="57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 spans="1:48" ht="15.75" customHeight="1">
      <c r="A213" s="23" t="s">
        <v>282</v>
      </c>
      <c r="B213" s="4"/>
      <c r="C213" s="4"/>
      <c r="D213" s="262">
        <f>D212*D200*(D200-D188)^2/8</f>
        <v>763.05937500000005</v>
      </c>
      <c r="E213" s="5" t="s">
        <v>94</v>
      </c>
      <c r="F213" s="6" t="s">
        <v>283</v>
      </c>
      <c r="G213" s="4"/>
      <c r="H213" s="4"/>
      <c r="I213" s="63"/>
      <c r="J213" s="4"/>
      <c r="K213" s="4"/>
      <c r="L213" s="4"/>
      <c r="M213" s="93">
        <v>25</v>
      </c>
      <c r="N213" s="259">
        <f t="shared" si="118"/>
        <v>4.908738521234052</v>
      </c>
      <c r="O213" s="260">
        <f t="shared" si="119"/>
        <v>0.91673247220931708</v>
      </c>
      <c r="P213" s="211">
        <v>6</v>
      </c>
      <c r="Q213" s="223">
        <f t="shared" si="120"/>
        <v>29.45243112740431</v>
      </c>
      <c r="R213" s="261">
        <f t="shared" si="121"/>
        <v>1.9634954084936207E-2</v>
      </c>
      <c r="S213" s="223">
        <f t="shared" si="122"/>
        <v>0.16999999999999998</v>
      </c>
      <c r="T213" s="57"/>
      <c r="U213" s="5"/>
      <c r="V213" s="107"/>
      <c r="W213" s="93"/>
      <c r="X213" s="5"/>
      <c r="Y213" s="93"/>
      <c r="Z213" s="4"/>
      <c r="AA213" s="93"/>
      <c r="AB213" s="93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 spans="1:48" ht="15.75" customHeight="1">
      <c r="A214" s="23" t="s">
        <v>284</v>
      </c>
      <c r="B214" s="4"/>
      <c r="C214" s="4"/>
      <c r="D214" s="254">
        <f>SQRT(D213/D181/D180/D200)/100</f>
        <v>3.9383705953704988E-2</v>
      </c>
      <c r="E214" s="5" t="s">
        <v>78</v>
      </c>
      <c r="F214" s="6" t="s">
        <v>285</v>
      </c>
      <c r="G214" s="4"/>
      <c r="H214" s="31" t="s">
        <v>122</v>
      </c>
      <c r="I214" s="224">
        <f>D181*D180*D200*(D214*100)^2</f>
        <v>763.0593749999997</v>
      </c>
      <c r="J214" s="23" t="s">
        <v>94</v>
      </c>
      <c r="K214" s="249" t="s">
        <v>243</v>
      </c>
      <c r="L214" s="4"/>
      <c r="U214" s="57"/>
      <c r="V214" s="179"/>
      <c r="W214" s="221"/>
      <c r="X214" s="263"/>
      <c r="Y214" s="221"/>
      <c r="Z214" s="4"/>
      <c r="AA214" s="93"/>
      <c r="AB214" s="223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 spans="1:48" ht="15.75" customHeight="1">
      <c r="A215" s="5" t="s">
        <v>286</v>
      </c>
      <c r="B215" s="4"/>
      <c r="C215" s="4"/>
      <c r="D215" s="254">
        <f>D212*(D200-D188)/(2*(D182*D184+D212))</f>
        <v>5.046466208974662E-2</v>
      </c>
      <c r="E215" s="5" t="s">
        <v>78</v>
      </c>
      <c r="F215" s="6" t="s">
        <v>287</v>
      </c>
      <c r="G215" s="4"/>
      <c r="H215" s="31" t="s">
        <v>288</v>
      </c>
      <c r="I215" s="224">
        <f>D212*(0.5*D200*(D200-D188-2*D215))/D182/D200/D215</f>
        <v>82107.246939597244</v>
      </c>
      <c r="J215" s="23" t="s">
        <v>211</v>
      </c>
      <c r="K215" s="264" t="s">
        <v>289</v>
      </c>
      <c r="L215" s="4"/>
      <c r="W215" s="4"/>
      <c r="X215" s="263"/>
      <c r="Y215" s="221"/>
      <c r="Z215" s="4"/>
      <c r="AA215" s="93"/>
      <c r="AB215" s="223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 spans="1:48" ht="15.75" customHeight="1">
      <c r="A216" s="6" t="s">
        <v>290</v>
      </c>
      <c r="B216" s="4"/>
      <c r="C216" s="4"/>
      <c r="D216" s="214">
        <f>4*D182*D186+D212</f>
        <v>537578.1350842088</v>
      </c>
      <c r="E216" s="5" t="s">
        <v>211</v>
      </c>
      <c r="F216" s="4"/>
      <c r="G216" s="4"/>
      <c r="H216" s="4"/>
      <c r="I216" s="4"/>
      <c r="J216" s="4"/>
      <c r="K216" s="4"/>
      <c r="L216" s="4"/>
      <c r="X216" s="263"/>
      <c r="Y216" s="221"/>
      <c r="Z216" s="4"/>
      <c r="AA216" s="93"/>
      <c r="AB216" s="223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 spans="1:48" ht="15.75" customHeight="1">
      <c r="A217" s="6" t="s">
        <v>291</v>
      </c>
      <c r="B217" s="4"/>
      <c r="C217" s="4"/>
      <c r="D217" s="193">
        <f>2*D188*(2*D182*D186+D212)</f>
        <v>137107.63377105221</v>
      </c>
      <c r="E217" s="5" t="s">
        <v>292</v>
      </c>
      <c r="F217" s="4"/>
      <c r="G217" s="4"/>
      <c r="H217" s="4"/>
      <c r="I217" s="4"/>
      <c r="J217" s="4"/>
      <c r="K217" s="4"/>
      <c r="L217" s="4"/>
      <c r="X217" s="263"/>
      <c r="Y217" s="221"/>
      <c r="Z217" s="4"/>
      <c r="AA217" s="93"/>
      <c r="AB217" s="223"/>
      <c r="AC217" s="93"/>
      <c r="AD217" s="213"/>
      <c r="AE217" s="4"/>
      <c r="AF217" s="4"/>
      <c r="AG217" s="4"/>
      <c r="AH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 spans="1:48" ht="15.75" customHeight="1">
      <c r="A218" s="23" t="s">
        <v>293</v>
      </c>
      <c r="B218" s="4"/>
      <c r="C218" s="4"/>
      <c r="D218" s="262">
        <f>D212*(D188^2-D200^2)</f>
        <v>-10174.125000000002</v>
      </c>
      <c r="E218" s="5" t="s">
        <v>294</v>
      </c>
      <c r="F218" s="63"/>
      <c r="G218" s="4"/>
      <c r="H218" s="4"/>
      <c r="I218" s="4"/>
      <c r="J218" s="4"/>
      <c r="K218" s="4"/>
      <c r="L218" s="4"/>
      <c r="X218" s="63"/>
      <c r="Y218" s="63"/>
      <c r="Z218" s="4"/>
      <c r="AA218" s="4"/>
      <c r="AB218" s="4"/>
      <c r="AC218" s="223"/>
      <c r="AD218" s="223"/>
      <c r="AE218" s="4"/>
      <c r="AF218" s="4"/>
      <c r="AG218" s="4"/>
      <c r="AH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 spans="1:48" ht="15.75" customHeight="1">
      <c r="A219" s="5" t="s">
        <v>295</v>
      </c>
      <c r="B219" s="4"/>
      <c r="C219" s="4"/>
      <c r="D219" s="254">
        <f>(-D217+SQRT(D217^2-4*D216*D218))/2/D216</f>
        <v>6.006142169926082E-2</v>
      </c>
      <c r="E219" s="5" t="s">
        <v>78</v>
      </c>
      <c r="F219" s="63" t="s">
        <v>296</v>
      </c>
      <c r="G219" s="4"/>
      <c r="H219" s="31" t="s">
        <v>297</v>
      </c>
      <c r="I219" s="214">
        <f>D212*(D200^2-(D219+D188)^2)/D182/(4*D219^2+4*D188*D219)</f>
        <v>154919.33384829675</v>
      </c>
      <c r="J219" s="23" t="s">
        <v>211</v>
      </c>
      <c r="K219" s="6" t="s">
        <v>298</v>
      </c>
      <c r="L219" s="4"/>
      <c r="X219" s="4"/>
      <c r="Y219" s="4"/>
      <c r="Z219" s="4"/>
      <c r="AA219" s="4"/>
      <c r="AB219" s="4"/>
      <c r="AC219" s="223"/>
      <c r="AD219" s="223"/>
      <c r="AE219" s="4"/>
      <c r="AF219" s="4"/>
      <c r="AG219" s="4"/>
      <c r="AH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 spans="1:48" ht="15.75" customHeight="1">
      <c r="A220" s="5" t="s">
        <v>299</v>
      </c>
      <c r="B220" s="4"/>
      <c r="C220" s="4"/>
      <c r="D220" s="254">
        <v>0.15</v>
      </c>
      <c r="E220" s="5" t="s">
        <v>78</v>
      </c>
      <c r="F220" s="6" t="s">
        <v>300</v>
      </c>
      <c r="G220" s="4"/>
      <c r="H220" s="4"/>
      <c r="I220" s="4"/>
      <c r="J220" s="4"/>
      <c r="K220" s="4"/>
      <c r="L220" s="4"/>
      <c r="Y220" s="5"/>
      <c r="Z220" s="5"/>
      <c r="AA220" s="4"/>
      <c r="AB220" s="4"/>
      <c r="AC220" s="223"/>
      <c r="AD220" s="223"/>
      <c r="AE220" s="4"/>
      <c r="AF220" s="4"/>
      <c r="AG220" s="4"/>
      <c r="AH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 spans="1:48" ht="15.75" customHeight="1">
      <c r="Y221" s="4"/>
      <c r="Z221" s="4"/>
      <c r="AA221" s="4"/>
      <c r="AB221" s="4"/>
      <c r="AC221" s="223"/>
      <c r="AD221" s="223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 spans="1:48" ht="15.75" customHeight="1">
      <c r="A222" s="5" t="s">
        <v>301</v>
      </c>
      <c r="B222" s="4"/>
      <c r="D222" s="229">
        <v>0.15</v>
      </c>
      <c r="E222" s="5" t="s">
        <v>78</v>
      </c>
      <c r="F222" s="265"/>
      <c r="G222" s="4"/>
      <c r="H222" s="4"/>
      <c r="AC222" s="4"/>
      <c r="AD222" s="266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 spans="1:48" ht="15.75" customHeight="1">
      <c r="A223" s="5" t="s">
        <v>302</v>
      </c>
      <c r="B223" s="4"/>
      <c r="D223" s="198">
        <f>D222+D201</f>
        <v>0.22499999999999998</v>
      </c>
      <c r="E223" s="5" t="s">
        <v>78</v>
      </c>
      <c r="F223" s="6" t="s">
        <v>303</v>
      </c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 spans="1:48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AC224" s="221"/>
      <c r="AD224" s="267"/>
      <c r="AE224" s="17"/>
      <c r="AF224" s="5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 spans="1:48" ht="15.75" customHeight="1">
      <c r="A225" s="1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 spans="1:48" ht="15.75" customHeight="1">
      <c r="A226" s="17" t="s">
        <v>304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 spans="1:48" ht="15.75" customHeight="1">
      <c r="A227" s="5" t="s">
        <v>305</v>
      </c>
      <c r="B227" s="4"/>
      <c r="C227" s="4"/>
      <c r="D227" s="230">
        <v>0.2</v>
      </c>
      <c r="E227" s="5" t="s">
        <v>78</v>
      </c>
      <c r="F227" s="4"/>
      <c r="G227" s="4"/>
      <c r="H227" s="4"/>
      <c r="I227" s="4"/>
      <c r="J227" s="4"/>
      <c r="K227" s="4"/>
      <c r="S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 spans="1:48" ht="15.75" customHeight="1">
      <c r="A228" s="5" t="s">
        <v>311</v>
      </c>
      <c r="B228" s="4"/>
      <c r="C228" s="4"/>
      <c r="D228" s="230">
        <v>0.2</v>
      </c>
      <c r="E228" s="5" t="s">
        <v>78</v>
      </c>
      <c r="F228" s="4"/>
      <c r="G228" s="4"/>
      <c r="H228" s="4"/>
      <c r="I228" s="4"/>
      <c r="J228" s="4"/>
      <c r="K228" s="4"/>
      <c r="S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 spans="1:48" ht="15.75" customHeight="1">
      <c r="A229" s="5" t="s">
        <v>313</v>
      </c>
      <c r="B229" s="4"/>
      <c r="C229" s="4"/>
      <c r="D229" s="230">
        <v>2.6</v>
      </c>
      <c r="E229" s="5" t="s">
        <v>78</v>
      </c>
      <c r="F229" s="4"/>
      <c r="G229" s="4"/>
      <c r="H229" s="4"/>
      <c r="I229" s="4"/>
      <c r="J229" s="4"/>
      <c r="K229" s="4"/>
      <c r="S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 spans="1:48" ht="15.75" customHeight="1">
      <c r="A230" s="5" t="s">
        <v>15</v>
      </c>
      <c r="B230" s="4"/>
      <c r="C230" s="4"/>
      <c r="D230" s="269">
        <v>2400</v>
      </c>
      <c r="E230" s="5" t="s">
        <v>12</v>
      </c>
      <c r="F230" s="4"/>
      <c r="G230" s="4"/>
      <c r="H230" s="4"/>
      <c r="I230" s="4"/>
      <c r="J230" s="4"/>
      <c r="K230" s="4"/>
      <c r="S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 spans="1:48" ht="15.75" customHeight="1">
      <c r="A231" s="5" t="s">
        <v>317</v>
      </c>
      <c r="B231" s="4"/>
      <c r="C231" s="4"/>
      <c r="D231" s="270">
        <v>16</v>
      </c>
      <c r="E231" s="5" t="s">
        <v>47</v>
      </c>
      <c r="F231" s="4"/>
      <c r="G231" s="4"/>
      <c r="H231" s="4"/>
      <c r="I231" s="4"/>
      <c r="J231" s="4"/>
      <c r="K231" s="4"/>
      <c r="S231" s="4"/>
      <c r="T231" s="4"/>
      <c r="U231" s="4"/>
      <c r="V231" s="4"/>
      <c r="W231" s="4"/>
      <c r="X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 spans="1:48" ht="15.75" customHeight="1">
      <c r="A232" s="5" t="s">
        <v>319</v>
      </c>
      <c r="B232" s="4"/>
      <c r="C232" s="4"/>
      <c r="D232" s="270">
        <v>6</v>
      </c>
      <c r="E232" s="5" t="s">
        <v>47</v>
      </c>
      <c r="F232" s="4"/>
      <c r="G232" s="4"/>
      <c r="H232" s="4"/>
      <c r="I232" s="4"/>
      <c r="J232" s="4"/>
      <c r="K232" s="4"/>
      <c r="S232" s="4"/>
      <c r="T232" s="4"/>
      <c r="U232" s="4"/>
      <c r="V232" s="4"/>
      <c r="W232" s="4"/>
      <c r="X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 spans="1:48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S233" s="4"/>
      <c r="T233" s="4"/>
      <c r="U233" s="4"/>
      <c r="V233" s="4"/>
      <c r="W233" s="4"/>
      <c r="X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 spans="1:48" ht="15.75" customHeight="1">
      <c r="A234" s="4"/>
      <c r="B234" s="221" t="s">
        <v>306</v>
      </c>
      <c r="C234" s="221" t="s">
        <v>307</v>
      </c>
      <c r="D234" s="221" t="s">
        <v>308</v>
      </c>
      <c r="E234" s="221" t="s">
        <v>309</v>
      </c>
      <c r="F234" s="221" t="s">
        <v>310</v>
      </c>
      <c r="H234" s="4"/>
      <c r="I234" s="4"/>
      <c r="J234" s="4"/>
      <c r="K234" s="4"/>
      <c r="S234" s="4"/>
      <c r="T234" s="4"/>
      <c r="U234" s="4"/>
      <c r="V234" s="4"/>
      <c r="W234" s="4"/>
      <c r="X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 spans="1:48" ht="15.75" customHeight="1">
      <c r="A235" s="54" t="s">
        <v>312</v>
      </c>
      <c r="B235" s="223">
        <f>8*D231/1000</f>
        <v>0.128</v>
      </c>
      <c r="C235" s="223">
        <f>24*D232/1000</f>
        <v>0.14399999999999999</v>
      </c>
      <c r="D235" s="223">
        <f>D228/2</f>
        <v>0.1</v>
      </c>
      <c r="E235" s="223">
        <v>0.3</v>
      </c>
      <c r="F235" s="268">
        <f>MIN(B235:E235)</f>
        <v>0.1</v>
      </c>
      <c r="H235" s="4"/>
      <c r="I235" s="4"/>
      <c r="J235" s="4"/>
      <c r="K235" s="4"/>
      <c r="S235" s="4"/>
      <c r="T235" s="4"/>
      <c r="U235" s="4"/>
      <c r="V235" s="4"/>
      <c r="W235" s="4"/>
      <c r="X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 spans="1:48" ht="15.75" customHeight="1">
      <c r="A236" s="4"/>
      <c r="B236" s="4"/>
      <c r="C236" s="4"/>
      <c r="D236" s="4"/>
      <c r="E236" s="4"/>
      <c r="F236" s="4"/>
      <c r="H236" s="4"/>
      <c r="I236" s="4"/>
      <c r="J236" s="4"/>
      <c r="K236" s="4"/>
      <c r="S236" s="4"/>
      <c r="T236" s="4"/>
      <c r="U236" s="4"/>
      <c r="V236" s="4"/>
      <c r="W236" s="4"/>
      <c r="X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 spans="1:48" ht="15.75" customHeight="1">
      <c r="A237" s="4"/>
      <c r="B237" s="221" t="s">
        <v>314</v>
      </c>
      <c r="C237" s="221" t="s">
        <v>315</v>
      </c>
      <c r="D237" s="221" t="s">
        <v>309</v>
      </c>
      <c r="E237" s="4"/>
      <c r="F237" s="221" t="s">
        <v>316</v>
      </c>
      <c r="H237" s="4"/>
      <c r="I237" s="4"/>
      <c r="J237" s="4"/>
      <c r="K237" s="4"/>
      <c r="S237" s="4"/>
      <c r="T237" s="4"/>
      <c r="U237" s="4"/>
      <c r="V237" s="4"/>
      <c r="W237" s="4"/>
      <c r="X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 spans="1:48" ht="15.75" customHeight="1">
      <c r="A238" s="54" t="s">
        <v>318</v>
      </c>
      <c r="B238" s="223">
        <f>D229/6</f>
        <v>0.43333333333333335</v>
      </c>
      <c r="C238" s="223">
        <f>D227</f>
        <v>0.2</v>
      </c>
      <c r="D238" s="223">
        <v>0.5</v>
      </c>
      <c r="E238" s="223"/>
      <c r="F238" s="268">
        <f>MAX(B238:D238)</f>
        <v>0.5</v>
      </c>
      <c r="H238" s="4"/>
      <c r="I238" s="4"/>
      <c r="J238" s="4"/>
      <c r="K238" s="4"/>
      <c r="S238" s="4"/>
      <c r="T238" s="4"/>
      <c r="U238" s="4"/>
      <c r="V238" s="4"/>
      <c r="W238" s="4"/>
      <c r="X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 spans="1:48" ht="15.75" customHeight="1">
      <c r="A239" s="4"/>
      <c r="B239" s="4"/>
      <c r="C239" s="4"/>
      <c r="D239" s="4"/>
      <c r="E239" s="4"/>
      <c r="F239" s="4"/>
      <c r="H239" s="4"/>
      <c r="I239" s="4"/>
      <c r="J239" s="4"/>
      <c r="K239" s="4"/>
      <c r="S239" s="4"/>
      <c r="T239" s="4"/>
      <c r="U239" s="4"/>
      <c r="V239" s="4"/>
      <c r="W239" s="4"/>
      <c r="X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 spans="1:48" ht="15.75" customHeight="1">
      <c r="A240" s="4"/>
      <c r="B240" s="4"/>
      <c r="C240" s="4"/>
      <c r="D240" s="54" t="s">
        <v>320</v>
      </c>
      <c r="E240" s="93" t="s">
        <v>321</v>
      </c>
      <c r="F240" s="268">
        <f>2*F235</f>
        <v>0.2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S240" s="4"/>
      <c r="T240" s="4"/>
      <c r="U240" s="4"/>
      <c r="V240" s="4"/>
      <c r="W240" s="4"/>
      <c r="X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 spans="1:48" ht="15.75" customHeight="1">
      <c r="A241" s="4"/>
      <c r="B241" s="4"/>
      <c r="C241" s="4"/>
      <c r="D241" s="54" t="s">
        <v>322</v>
      </c>
      <c r="E241" s="93" t="s">
        <v>321</v>
      </c>
      <c r="F241" s="268">
        <f>D229-2*F238</f>
        <v>1.6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 spans="1:48" ht="15.75" customHeight="1">
      <c r="A242" s="4"/>
      <c r="B242" s="4"/>
      <c r="C242" s="4"/>
      <c r="D242" s="54" t="s">
        <v>323</v>
      </c>
      <c r="E242" s="93" t="s">
        <v>321</v>
      </c>
      <c r="F242" s="268">
        <f>0.5*F235</f>
        <v>0.05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 spans="1:48" ht="15.75" customHeight="1">
      <c r="A243" s="4"/>
      <c r="B243" s="4"/>
      <c r="C243" s="4"/>
      <c r="D243" s="4"/>
      <c r="E243" s="4"/>
      <c r="F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 spans="1:48" ht="15.75" customHeight="1">
      <c r="A244" s="4"/>
      <c r="B244" s="4"/>
      <c r="C244" s="4"/>
      <c r="D244" s="5" t="s">
        <v>324</v>
      </c>
      <c r="E244" s="4"/>
      <c r="F244" s="223">
        <f>3.5*D227*F235*10000/D230</f>
        <v>0.29166666666666674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 spans="1:48" ht="15.75" customHeight="1">
      <c r="A245" s="4"/>
      <c r="B245" s="4"/>
      <c r="C245" s="4"/>
      <c r="D245" s="5" t="s">
        <v>274</v>
      </c>
      <c r="E245" s="4"/>
      <c r="F245" s="223">
        <f>PI()*(D232/10)^2/4</f>
        <v>0.28274333882308139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 spans="1:48" ht="15.75" customHeight="1">
      <c r="A246" s="4"/>
      <c r="B246" s="4"/>
      <c r="C246" s="4"/>
      <c r="D246" s="5" t="s">
        <v>275</v>
      </c>
      <c r="E246" s="4"/>
      <c r="F246" s="271">
        <f>F244/F245</f>
        <v>1.0315598163363588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 spans="1:48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 spans="1: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 spans="1:48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 spans="1:48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 spans="1:48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 spans="1:48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 spans="1:48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 spans="1:48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 spans="1:48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 spans="1:48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 spans="1:48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 spans="1:4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 spans="1:48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 spans="1:48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 spans="1:48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 spans="1:48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 spans="1:48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 spans="1:48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 spans="1:48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 spans="1:48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 spans="1:48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 spans="1:48" ht="15.75" customHeight="1">
      <c r="A268" s="19" t="s">
        <v>325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 spans="1:48" ht="15.75" customHeight="1">
      <c r="A269" s="31" t="s">
        <v>326</v>
      </c>
      <c r="B269" s="272" t="s">
        <v>46</v>
      </c>
      <c r="D269" s="6" t="s">
        <v>327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 spans="1:48" ht="15.75" customHeight="1">
      <c r="A270" s="31" t="s">
        <v>11</v>
      </c>
      <c r="B270" s="273">
        <f>fcu</f>
        <v>240</v>
      </c>
      <c r="C270" s="23" t="s">
        <v>12</v>
      </c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 spans="1:48" ht="15.75" customHeight="1">
      <c r="A271" s="31" t="s">
        <v>194</v>
      </c>
      <c r="B271" s="226">
        <f>B18</f>
        <v>204</v>
      </c>
      <c r="C271" s="23" t="s">
        <v>12</v>
      </c>
      <c r="D271" s="6" t="s">
        <v>18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 spans="1:48" ht="15.75" customHeight="1">
      <c r="A272" s="31" t="s">
        <v>15</v>
      </c>
      <c r="B272" s="273">
        <f>IF(B269="RB",B15,F15)</f>
        <v>2400</v>
      </c>
      <c r="C272" s="23" t="s">
        <v>12</v>
      </c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 spans="1:48" ht="15.75" customHeight="1">
      <c r="A273" s="31" t="s">
        <v>27</v>
      </c>
      <c r="B273" s="274">
        <f t="shared" ref="B273:B274" si="123">IF($B$269="RB",B23,F23)</f>
        <v>2.7093749999999996E-2</v>
      </c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 spans="1:48" ht="15.75" customHeight="1">
      <c r="A274" s="31" t="s">
        <v>29</v>
      </c>
      <c r="B274" s="274">
        <f t="shared" si="123"/>
        <v>5.8333333333333336E-3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 spans="1:48" ht="18.75">
      <c r="A275" s="31" t="s">
        <v>328</v>
      </c>
      <c r="B275" s="226">
        <f>IF($B$269="RB",B20,#REF!)</f>
        <v>54.66164062499999</v>
      </c>
      <c r="C275" s="23" t="s">
        <v>12</v>
      </c>
    </row>
    <row r="276" spans="1:48" ht="15.75" customHeight="1">
      <c r="A276" s="31" t="s">
        <v>329</v>
      </c>
      <c r="B276" s="272" t="s">
        <v>46</v>
      </c>
      <c r="C276" s="4"/>
      <c r="D276" s="6" t="s">
        <v>327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 spans="1:48" ht="15.75" customHeight="1">
      <c r="A277" s="31" t="s">
        <v>31</v>
      </c>
      <c r="B277" s="274">
        <f>IF(B276="RB",B25,F25)</f>
        <v>2.5000000000000001E-3</v>
      </c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 spans="1:48" ht="15.75" customHeight="1">
      <c r="A278" s="31"/>
      <c r="B278" s="3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 spans="1:48" ht="15.75" customHeight="1">
      <c r="A279" s="31" t="s">
        <v>40</v>
      </c>
      <c r="B279" s="226">
        <f t="shared" ref="B279:B280" si="124">B33</f>
        <v>1.4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 spans="1:48" ht="15.75" customHeight="1">
      <c r="A280" s="31" t="s">
        <v>41</v>
      </c>
      <c r="B280" s="226">
        <f t="shared" si="124"/>
        <v>1.7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 spans="1:48" ht="15.75" customHeight="1">
      <c r="A281" s="27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 spans="1:48" ht="15.75" customHeight="1">
      <c r="A282" s="31" t="s">
        <v>330</v>
      </c>
      <c r="B282" s="276">
        <v>3</v>
      </c>
      <c r="C282" s="23" t="s">
        <v>78</v>
      </c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 spans="1:48" ht="15.75" customHeight="1">
      <c r="A283" s="31" t="s">
        <v>331</v>
      </c>
      <c r="B283" s="276">
        <v>0.25</v>
      </c>
      <c r="C283" s="23" t="s">
        <v>78</v>
      </c>
      <c r="D283" s="2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 spans="1:48" ht="15.75" customHeight="1">
      <c r="A284" s="31" t="s">
        <v>332</v>
      </c>
      <c r="B284" s="276">
        <v>0.18</v>
      </c>
      <c r="C284" s="23" t="s">
        <v>78</v>
      </c>
      <c r="D284" s="2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 spans="1:48" ht="15.75" customHeight="1">
      <c r="A285" s="31" t="s">
        <v>333</v>
      </c>
      <c r="B285" s="276">
        <v>0.03</v>
      </c>
      <c r="C285" s="23" t="s">
        <v>78</v>
      </c>
      <c r="D285" s="2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 spans="1:48" ht="15.75" customHeight="1">
      <c r="A286" s="31" t="s">
        <v>65</v>
      </c>
      <c r="B286" s="276">
        <v>0.3</v>
      </c>
      <c r="C286" s="6" t="s">
        <v>334</v>
      </c>
      <c r="D286" s="2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 spans="1:48" ht="15.75" customHeight="1">
      <c r="A287" s="31"/>
      <c r="B287" s="35"/>
      <c r="C287" s="23"/>
      <c r="D287" s="2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 spans="1:48" ht="15.75" customHeight="1">
      <c r="A288" s="31" t="s">
        <v>335</v>
      </c>
      <c r="B288" s="223">
        <f>(B282/20)*(0.4+(B272/7000))</f>
        <v>0.11142857142857143</v>
      </c>
      <c r="C288" s="23" t="s">
        <v>78</v>
      </c>
      <c r="D288" s="6" t="s">
        <v>336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 spans="1:48" ht="15.75" customHeight="1">
      <c r="A289" s="31" t="s">
        <v>337</v>
      </c>
      <c r="B289" s="276">
        <v>0.12</v>
      </c>
      <c r="C289" s="23" t="s">
        <v>78</v>
      </c>
      <c r="D289" s="6" t="s">
        <v>338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 spans="1:48" ht="15.75" customHeight="1">
      <c r="A290" s="31" t="s">
        <v>125</v>
      </c>
      <c r="B290" s="223">
        <f>B289-B285</f>
        <v>0.09</v>
      </c>
      <c r="C290" s="23" t="s">
        <v>78</v>
      </c>
      <c r="D290" s="6" t="s">
        <v>339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 spans="1:48" ht="15.75" customHeight="1">
      <c r="A291" s="31" t="s">
        <v>340</v>
      </c>
      <c r="B291" s="223">
        <f>((1.2*B283*B284+0.03*B284)+(2.4*B289*SQRT(B283^2+B284^2)))/B283</f>
        <v>0.59248331828926537</v>
      </c>
      <c r="C291" s="23" t="s">
        <v>205</v>
      </c>
      <c r="D291" s="6" t="s">
        <v>341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 spans="1:48" ht="15.75" customHeight="1">
      <c r="A292" s="31" t="s">
        <v>342</v>
      </c>
      <c r="B292" s="223">
        <f>B279*B291 + B280*B286</f>
        <v>1.3394766456049716</v>
      </c>
      <c r="C292" s="23" t="s">
        <v>88</v>
      </c>
      <c r="D292" s="6" t="s">
        <v>343</v>
      </c>
      <c r="E292" s="4"/>
      <c r="F292" s="6" t="s">
        <v>344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 spans="1:48" ht="15.75" customHeight="1">
      <c r="A293" s="31" t="s">
        <v>99</v>
      </c>
      <c r="B293" s="223">
        <f>B292*B282^2/8</f>
        <v>1.506911226305593</v>
      </c>
      <c r="C293" s="23" t="s">
        <v>121</v>
      </c>
      <c r="D293" s="6" t="s">
        <v>345</v>
      </c>
      <c r="E293" s="4"/>
      <c r="F293" s="6" t="s">
        <v>344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 spans="1:48" ht="15.75" customHeight="1">
      <c r="A294" s="31" t="s">
        <v>122</v>
      </c>
      <c r="B294" s="223">
        <f>B30*B275*(B290*100)^2/1000</f>
        <v>3.984833601562499</v>
      </c>
      <c r="C294" s="23" t="s">
        <v>121</v>
      </c>
      <c r="D294" s="6" t="s">
        <v>346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 spans="1:48" ht="15.75" customHeight="1">
      <c r="A295" s="31" t="s">
        <v>99</v>
      </c>
      <c r="B295" s="277" t="str">
        <f>IF(B293&lt;=B294,"&lt;","&gt;")</f>
        <v>&lt;</v>
      </c>
      <c r="C295" s="23" t="s">
        <v>347</v>
      </c>
      <c r="D295" s="4" t="str">
        <f>IF(B293&lt;=B294,"ความหนาใช้ได้","เปลี่ยนความหนา")</f>
        <v>ความหนาใช้ได้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 spans="1:48" ht="15.75" customHeight="1">
      <c r="A296" s="31" t="s">
        <v>100</v>
      </c>
      <c r="B296" s="35">
        <f>B293*1000/B30/(B290*100)^2</f>
        <v>20.670935888965612</v>
      </c>
      <c r="C296" s="23" t="s">
        <v>12</v>
      </c>
      <c r="D296" s="6" t="s">
        <v>348</v>
      </c>
      <c r="E296" s="4"/>
      <c r="F296" s="6" t="s">
        <v>344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 spans="1:48" ht="15.75" customHeight="1">
      <c r="A297" s="31" t="s">
        <v>349</v>
      </c>
      <c r="B297" s="261">
        <f>(B271/B272)*(1-SQRT(1-2*B296/B271))</f>
        <v>9.1000085120891781E-3</v>
      </c>
      <c r="C297" s="4"/>
      <c r="D297" s="6" t="s">
        <v>103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 spans="1:48" ht="15.75" customHeight="1">
      <c r="A298" s="31" t="s">
        <v>102</v>
      </c>
      <c r="B298" s="261">
        <f>IF(B297&gt;B274,B297,B274)</f>
        <v>9.1000085120891781E-3</v>
      </c>
      <c r="C298" s="4"/>
      <c r="D298" s="23" t="s">
        <v>350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 spans="1:48" ht="15.75" customHeight="1">
      <c r="A299" s="23" t="s">
        <v>351</v>
      </c>
      <c r="B299" s="223"/>
      <c r="C299" s="58"/>
      <c r="D299" s="6"/>
      <c r="E299" s="4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 spans="1:48" ht="15.75" customHeight="1">
      <c r="A300" s="31" t="s">
        <v>105</v>
      </c>
      <c r="B300" s="223">
        <f>B298*100*(B290*100)</f>
        <v>8.1900076608802603</v>
      </c>
      <c r="C300" s="278" t="s">
        <v>352</v>
      </c>
      <c r="D300" s="6" t="s">
        <v>353</v>
      </c>
      <c r="E300" s="4"/>
      <c r="F300" s="6" t="s">
        <v>354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 spans="1:48" ht="15.75" customHeight="1">
      <c r="A301" s="31" t="s">
        <v>355</v>
      </c>
      <c r="B301" s="272">
        <v>12</v>
      </c>
      <c r="C301" s="23" t="s">
        <v>47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 spans="1:48" ht="15.75" customHeight="1">
      <c r="A302" s="31" t="s">
        <v>274</v>
      </c>
      <c r="B302" s="223">
        <f>PI()*(B301/10)^2/4</f>
        <v>1.1309733552923256</v>
      </c>
      <c r="C302" s="58" t="s">
        <v>52</v>
      </c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 spans="1:48" ht="15.75" customHeight="1">
      <c r="A303" s="31" t="s">
        <v>356</v>
      </c>
      <c r="B303" s="245">
        <f>B302/B300</f>
        <v>0.13809185560282722</v>
      </c>
      <c r="C303" s="23" t="s">
        <v>78</v>
      </c>
      <c r="D303" s="6" t="s">
        <v>357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 spans="1:48" ht="15.75" customHeight="1">
      <c r="A304" s="23" t="s">
        <v>358</v>
      </c>
      <c r="B304" s="27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 spans="1:48" ht="15.75" customHeight="1">
      <c r="A305" s="31" t="s">
        <v>359</v>
      </c>
      <c r="B305" s="223">
        <f>B277*100*B289*100</f>
        <v>3</v>
      </c>
      <c r="C305" s="278" t="s">
        <v>352</v>
      </c>
      <c r="D305" s="6" t="s">
        <v>360</v>
      </c>
      <c r="E305" s="4"/>
      <c r="F305" s="6" t="s">
        <v>354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 spans="1:48" ht="15.75" customHeight="1">
      <c r="A306" s="31" t="s">
        <v>355</v>
      </c>
      <c r="B306" s="272">
        <v>9</v>
      </c>
      <c r="C306" s="23" t="s">
        <v>47</v>
      </c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 spans="1:48" ht="15.75" customHeight="1">
      <c r="A307" s="31" t="s">
        <v>274</v>
      </c>
      <c r="B307" s="223">
        <f>PI()*(B306/10)^2/4</f>
        <v>0.63617251235193317</v>
      </c>
      <c r="C307" s="58" t="s">
        <v>52</v>
      </c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 spans="1:48" ht="15.75" customHeight="1">
      <c r="A308" s="31" t="s">
        <v>356</v>
      </c>
      <c r="B308" s="245">
        <f>B307/B305</f>
        <v>0.21205750411731106</v>
      </c>
      <c r="C308" s="23" t="s">
        <v>78</v>
      </c>
      <c r="D308" s="6" t="s">
        <v>357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 spans="1:48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 spans="1:48" ht="15.75" customHeight="1">
      <c r="A310" s="23" t="s">
        <v>361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 spans="1:48" ht="15.75" customHeight="1">
      <c r="A311" s="31" t="s">
        <v>362</v>
      </c>
      <c r="B311" s="245">
        <f>B292*B282/2</f>
        <v>2.0092149684074574</v>
      </c>
      <c r="C311" s="23" t="s">
        <v>121</v>
      </c>
      <c r="D311" s="6" t="s">
        <v>363</v>
      </c>
      <c r="E311" s="7"/>
      <c r="F311" s="7"/>
      <c r="G311" s="7"/>
      <c r="H311" s="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 spans="1:48" ht="15.75" customHeight="1">
      <c r="A312" s="279" t="s">
        <v>364</v>
      </c>
      <c r="B312" s="280">
        <f>B311/1.4</f>
        <v>1.4351535488624696</v>
      </c>
      <c r="C312" s="281" t="s">
        <v>121</v>
      </c>
      <c r="D312" s="282" t="s">
        <v>365</v>
      </c>
      <c r="E312" s="283"/>
      <c r="F312" s="283"/>
      <c r="G312" s="283"/>
      <c r="H312" s="283"/>
      <c r="I312" s="28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 spans="1:48" ht="15.75" customHeight="1">
      <c r="A313" s="31" t="s">
        <v>366</v>
      </c>
      <c r="B313" s="276">
        <v>3</v>
      </c>
      <c r="C313" s="23" t="s">
        <v>78</v>
      </c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 spans="1:48" ht="15.75" customHeight="1">
      <c r="A314" s="31" t="s">
        <v>367</v>
      </c>
      <c r="B314" s="285">
        <v>0.2</v>
      </c>
      <c r="C314" s="23" t="s">
        <v>78</v>
      </c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 spans="1:48" ht="15.75" customHeight="1">
      <c r="A315" s="31" t="s">
        <v>368</v>
      </c>
      <c r="B315" s="285">
        <v>0.25</v>
      </c>
      <c r="C315" s="23" t="s">
        <v>78</v>
      </c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 spans="1:48" ht="15.75" customHeight="1">
      <c r="A316" s="31" t="s">
        <v>342</v>
      </c>
      <c r="B316" s="223">
        <f>B311+B279*2.4*B314*B315</f>
        <v>2.1772149684074575</v>
      </c>
      <c r="C316" s="23" t="s">
        <v>88</v>
      </c>
      <c r="D316" s="23" t="s">
        <v>369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 spans="1:48" ht="15.75" customHeight="1">
      <c r="A317" s="31" t="s">
        <v>123</v>
      </c>
      <c r="B317" s="245">
        <f>B316*B313/2</f>
        <v>3.2658224526111863</v>
      </c>
      <c r="C317" s="23" t="s">
        <v>124</v>
      </c>
      <c r="D317" s="246" t="s">
        <v>370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 spans="1:48" ht="15.75" customHeight="1">
      <c r="A318" s="31" t="s">
        <v>99</v>
      </c>
      <c r="B318" s="245">
        <f>B316*B313^2/8</f>
        <v>2.4493668394583898</v>
      </c>
      <c r="C318" s="193" t="s">
        <v>121</v>
      </c>
      <c r="D318" s="23" t="s">
        <v>371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 spans="1:48" ht="15.75" customHeight="1">
      <c r="A319" s="286" t="s">
        <v>372</v>
      </c>
      <c r="B319" s="284"/>
      <c r="C319" s="287"/>
      <c r="D319" s="281"/>
      <c r="E319" s="288"/>
      <c r="F319" s="31"/>
      <c r="G319" s="57"/>
      <c r="H319" s="23"/>
      <c r="I319" s="4"/>
      <c r="J319" s="4"/>
    </row>
    <row r="320" spans="1:48" ht="15.75" customHeight="1">
      <c r="A320" s="31"/>
      <c r="B320" s="4"/>
      <c r="C320" s="289"/>
      <c r="D320" s="23"/>
      <c r="E320" s="4"/>
      <c r="F320" s="4"/>
      <c r="G320" s="4"/>
      <c r="H320" s="4"/>
      <c r="I320" s="4"/>
      <c r="J320" s="4"/>
    </row>
    <row r="321" spans="1:10" ht="15.75" customHeight="1">
      <c r="A321" s="31"/>
      <c r="B321" s="23"/>
      <c r="C321" s="23"/>
      <c r="D321" s="4"/>
      <c r="E321" s="4"/>
      <c r="F321" s="4"/>
      <c r="G321" s="4"/>
      <c r="H321" s="4"/>
      <c r="I321" s="4"/>
      <c r="J321" s="4"/>
    </row>
    <row r="322" spans="1:10" ht="15.75" customHeight="1">
      <c r="A322" s="31"/>
      <c r="B322" s="23"/>
      <c r="C322" s="23"/>
      <c r="D322" s="4"/>
      <c r="E322" s="4"/>
      <c r="F322" s="4"/>
      <c r="G322" s="4"/>
      <c r="H322" s="4"/>
      <c r="I322" s="4"/>
      <c r="J322" s="4"/>
    </row>
    <row r="323" spans="1:10" ht="15.75" customHeight="1">
      <c r="A323" s="31"/>
      <c r="B323" s="4"/>
      <c r="C323" s="23"/>
      <c r="D323" s="4"/>
      <c r="E323" s="4"/>
      <c r="F323" s="4"/>
      <c r="G323" s="4"/>
      <c r="H323" s="4"/>
      <c r="I323" s="4"/>
      <c r="J323" s="4"/>
    </row>
    <row r="324" spans="1:10" ht="15.75" customHeight="1">
      <c r="A324" s="31"/>
      <c r="B324" s="4"/>
      <c r="C324" s="23"/>
      <c r="D324" s="4"/>
      <c r="E324" s="4"/>
      <c r="F324" s="4"/>
      <c r="G324" s="4"/>
      <c r="H324" s="4"/>
      <c r="I324" s="4"/>
      <c r="J324" s="4"/>
    </row>
    <row r="325" spans="1:10" ht="15.75" customHeight="1">
      <c r="A325" s="31"/>
      <c r="B325" s="200"/>
      <c r="C325" s="23"/>
      <c r="D325" s="4"/>
      <c r="E325" s="6"/>
      <c r="F325" s="4"/>
      <c r="G325" s="4"/>
      <c r="H325" s="4"/>
      <c r="I325" s="4"/>
      <c r="J325" s="4"/>
    </row>
    <row r="326" spans="1:10" ht="15.75" customHeight="1">
      <c r="A326" s="31"/>
      <c r="B326" s="200"/>
      <c r="C326" s="23"/>
      <c r="D326" s="290"/>
      <c r="E326" s="6"/>
      <c r="F326" s="4"/>
      <c r="G326" s="34"/>
      <c r="H326" s="57"/>
      <c r="I326" s="23"/>
      <c r="J326" s="6"/>
    </row>
    <row r="327" spans="1:10" ht="15.75" customHeight="1">
      <c r="A327" s="31"/>
      <c r="B327" s="202"/>
      <c r="C327" s="23"/>
      <c r="D327" s="7"/>
      <c r="E327" s="4"/>
      <c r="F327" s="4"/>
      <c r="G327" s="23"/>
      <c r="H327" s="4"/>
      <c r="I327" s="4"/>
      <c r="J327" s="4"/>
    </row>
    <row r="328" spans="1:10" ht="15.75" customHeight="1">
      <c r="A328" s="31"/>
      <c r="B328" s="203"/>
      <c r="C328" s="23"/>
      <c r="D328" s="6"/>
      <c r="E328" s="4"/>
      <c r="F328" s="4"/>
      <c r="G328" s="4"/>
      <c r="H328" s="4"/>
      <c r="I328" s="4"/>
      <c r="J328" s="4"/>
    </row>
    <row r="329" spans="1:10" ht="15.75" customHeight="1">
      <c r="A329" s="31"/>
      <c r="B329" s="204"/>
      <c r="C329" s="23"/>
      <c r="D329" s="6"/>
      <c r="E329" s="4"/>
      <c r="F329" s="4"/>
      <c r="G329" s="4"/>
      <c r="H329" s="4"/>
      <c r="I329" s="4"/>
      <c r="J329" s="4"/>
    </row>
    <row r="330" spans="1:10" ht="15.75" customHeight="1">
      <c r="A330" s="31"/>
      <c r="B330" s="205"/>
      <c r="C330" s="4"/>
      <c r="D330" s="6"/>
      <c r="E330" s="4"/>
      <c r="F330" s="4"/>
      <c r="G330" s="4"/>
      <c r="H330" s="4"/>
      <c r="I330" s="4"/>
      <c r="J330" s="4"/>
    </row>
    <row r="331" spans="1:10" ht="15.75" customHeight="1">
      <c r="A331" s="31"/>
      <c r="B331" s="205"/>
      <c r="C331" s="58"/>
      <c r="D331" s="6"/>
      <c r="E331" s="4"/>
      <c r="F331" s="4"/>
      <c r="G331" s="4"/>
      <c r="H331" s="4"/>
      <c r="I331" s="4"/>
      <c r="J331" s="4"/>
    </row>
    <row r="332" spans="1:10" ht="15.75" customHeight="1">
      <c r="A332" s="31"/>
      <c r="B332" s="202"/>
      <c r="C332" s="58"/>
      <c r="D332" s="6"/>
      <c r="E332" s="4"/>
      <c r="F332" s="4"/>
      <c r="G332" s="4"/>
      <c r="H332" s="4"/>
      <c r="I332" s="4"/>
      <c r="J332" s="4"/>
    </row>
    <row r="333" spans="1:10" ht="15.75" customHeight="1">
      <c r="A333" s="31"/>
      <c r="B333" s="202"/>
      <c r="C333" s="58"/>
      <c r="D333" s="6"/>
      <c r="E333" s="4"/>
      <c r="F333" s="4"/>
      <c r="G333" s="4"/>
      <c r="H333" s="4"/>
      <c r="I333" s="4"/>
      <c r="J333" s="4"/>
    </row>
    <row r="334" spans="1:10" ht="15.75" customHeight="1">
      <c r="A334" s="31"/>
      <c r="B334" s="204"/>
      <c r="C334" s="23"/>
      <c r="D334" s="6"/>
      <c r="E334" s="4"/>
      <c r="F334" s="4"/>
      <c r="G334" s="34"/>
      <c r="H334" s="32"/>
      <c r="I334" s="23"/>
      <c r="J334" s="23"/>
    </row>
    <row r="335" spans="1:10" ht="15.75" customHeight="1">
      <c r="A335" s="31"/>
      <c r="B335" s="206"/>
      <c r="C335" s="23"/>
      <c r="D335" s="6"/>
      <c r="E335" s="4"/>
      <c r="F335" s="4"/>
      <c r="G335" s="4"/>
      <c r="H335" s="4"/>
      <c r="I335" s="4"/>
      <c r="J335" s="4"/>
    </row>
    <row r="336" spans="1:10" ht="15.75" customHeight="1">
      <c r="A336" s="31"/>
      <c r="B336" s="203"/>
      <c r="C336" s="23"/>
      <c r="D336" s="6"/>
      <c r="E336" s="4"/>
      <c r="F336" s="4"/>
      <c r="G336" s="4"/>
      <c r="H336" s="4"/>
      <c r="I336" s="4"/>
      <c r="J336" s="4"/>
    </row>
    <row r="337" spans="1:10" ht="15.75" customHeight="1">
      <c r="A337" s="31"/>
      <c r="B337" s="202"/>
      <c r="C337" s="58"/>
      <c r="D337" s="23"/>
      <c r="E337" s="4"/>
      <c r="F337" s="4"/>
      <c r="G337" s="4"/>
      <c r="H337" s="4"/>
      <c r="I337" s="4"/>
      <c r="J337" s="4"/>
    </row>
    <row r="338" spans="1:10" ht="15.75" customHeight="1">
      <c r="A338" s="31"/>
      <c r="B338" s="202"/>
      <c r="C338" s="58"/>
      <c r="D338" s="6"/>
      <c r="E338" s="4"/>
      <c r="F338" s="4"/>
      <c r="G338" s="4"/>
      <c r="H338" s="4"/>
      <c r="I338" s="4"/>
      <c r="J338" s="4"/>
    </row>
    <row r="339" spans="1:10" ht="15.75" customHeight="1">
      <c r="A339" s="5"/>
      <c r="B339" s="291"/>
      <c r="C339" s="209"/>
      <c r="D339" s="210"/>
      <c r="E339" s="210"/>
      <c r="F339" s="4"/>
      <c r="G339" s="4"/>
      <c r="H339" s="4"/>
      <c r="I339" s="4"/>
      <c r="J339" s="4"/>
    </row>
    <row r="340" spans="1:10" ht="15.75" customHeight="1">
      <c r="A340" s="23"/>
      <c r="B340" s="4"/>
      <c r="C340" s="4"/>
      <c r="D340" s="4"/>
      <c r="E340" s="292"/>
      <c r="F340" s="5"/>
      <c r="G340" s="93"/>
      <c r="H340" s="228"/>
      <c r="I340" s="5"/>
      <c r="J340" s="4"/>
    </row>
    <row r="341" spans="1:10" ht="15.75" customHeight="1">
      <c r="A341" s="5"/>
      <c r="B341" s="4"/>
      <c r="C341" s="4"/>
      <c r="D341" s="4"/>
      <c r="E341" s="57"/>
      <c r="F341" s="209"/>
      <c r="G341" s="4"/>
      <c r="H341" s="4"/>
      <c r="I341" s="4"/>
      <c r="J341" s="4"/>
    </row>
    <row r="342" spans="1:10" ht="15.75" customHeight="1">
      <c r="A342" s="213"/>
      <c r="B342" s="57"/>
      <c r="C342" s="209"/>
      <c r="D342" s="4"/>
      <c r="E342" s="4"/>
      <c r="F342" s="4"/>
      <c r="G342" s="4"/>
      <c r="H342" s="4"/>
      <c r="I342" s="4"/>
      <c r="J342" s="4"/>
    </row>
    <row r="343" spans="1:10" ht="15.75" customHeight="1">
      <c r="A343" s="23"/>
      <c r="B343" s="214"/>
      <c r="C343" s="23"/>
      <c r="D343" s="6"/>
      <c r="E343" s="63"/>
      <c r="F343" s="4"/>
      <c r="G343" s="4"/>
      <c r="H343" s="4"/>
      <c r="I343" s="4"/>
      <c r="J343" s="4"/>
    </row>
    <row r="344" spans="1:10" ht="15.75" customHeight="1">
      <c r="A344" s="23"/>
      <c r="B344" s="57"/>
      <c r="C344" s="23"/>
      <c r="D344" s="6"/>
      <c r="E344" s="63"/>
      <c r="F344" s="4"/>
      <c r="G344" s="4"/>
      <c r="H344" s="4"/>
      <c r="I344" s="4"/>
      <c r="J344" s="4"/>
    </row>
    <row r="345" spans="1:10" ht="15.75" customHeight="1">
      <c r="A345" s="23"/>
      <c r="B345" s="202"/>
      <c r="C345" s="23"/>
      <c r="D345" s="4"/>
      <c r="E345" s="63"/>
      <c r="F345" s="4"/>
      <c r="G345" s="4"/>
      <c r="H345" s="4"/>
      <c r="I345" s="4"/>
      <c r="J345" s="4"/>
    </row>
    <row r="346" spans="1:10" ht="15.75" customHeight="1">
      <c r="A346" s="23"/>
      <c r="B346" s="202"/>
      <c r="C346" s="23"/>
      <c r="D346" s="23"/>
      <c r="E346" s="63"/>
      <c r="F346" s="4"/>
      <c r="G346" s="4"/>
      <c r="H346" s="4"/>
      <c r="I346" s="4"/>
      <c r="J346" s="4"/>
    </row>
    <row r="347" spans="1:10" ht="15.75" customHeight="1">
      <c r="A347" s="23"/>
      <c r="B347" s="202"/>
      <c r="C347" s="23"/>
      <c r="D347" s="4"/>
      <c r="E347" s="4"/>
      <c r="F347" s="4"/>
      <c r="G347" s="4"/>
      <c r="H347" s="4"/>
      <c r="I347" s="4"/>
      <c r="J347" s="4"/>
    </row>
    <row r="348" spans="1:10" ht="15.75" customHeight="1">
      <c r="A348" s="23"/>
      <c r="B348" s="200"/>
      <c r="C348" s="23"/>
      <c r="D348" s="4"/>
      <c r="E348" s="4"/>
      <c r="F348" s="4"/>
      <c r="G348" s="4"/>
      <c r="H348" s="4"/>
      <c r="I348" s="4"/>
      <c r="J348" s="4"/>
    </row>
    <row r="349" spans="1:10" ht="15.75" customHeight="1">
      <c r="A349" s="23"/>
      <c r="B349" s="200"/>
      <c r="C349" s="23"/>
      <c r="D349" s="4"/>
      <c r="E349" s="4"/>
      <c r="F349" s="4"/>
      <c r="G349" s="4"/>
      <c r="H349" s="4"/>
      <c r="I349" s="4"/>
      <c r="J349" s="4"/>
    </row>
    <row r="350" spans="1:10" ht="15.75" customHeight="1">
      <c r="A350" s="23"/>
      <c r="B350" s="202"/>
      <c r="C350" s="33"/>
      <c r="D350" s="4"/>
      <c r="E350" s="4"/>
      <c r="F350" s="4"/>
      <c r="G350" s="4"/>
      <c r="H350" s="4"/>
      <c r="I350" s="4"/>
      <c r="J350" s="4"/>
    </row>
    <row r="351" spans="1:10" ht="15.75" customHeight="1">
      <c r="A351" s="5"/>
      <c r="B351" s="4"/>
      <c r="C351" s="4"/>
      <c r="D351" s="4"/>
      <c r="E351" s="4"/>
      <c r="F351" s="4"/>
      <c r="G351" s="4"/>
      <c r="H351" s="4"/>
      <c r="I351" s="4"/>
      <c r="J351" s="4"/>
    </row>
    <row r="352" spans="1:10" ht="15.75" customHeight="1">
      <c r="A352" s="5"/>
      <c r="B352" s="4"/>
      <c r="C352" s="4"/>
      <c r="D352" s="215"/>
      <c r="E352" s="4"/>
      <c r="F352" s="4"/>
      <c r="G352" s="4"/>
      <c r="H352" s="4"/>
      <c r="I352" s="4"/>
      <c r="J352" s="4"/>
    </row>
    <row r="353" spans="1:10" ht="15.75" customHeight="1">
      <c r="A353" s="23"/>
      <c r="B353" s="4"/>
      <c r="C353" s="23"/>
      <c r="D353" s="4"/>
      <c r="E353" s="4"/>
      <c r="F353" s="4"/>
      <c r="G353" s="4"/>
      <c r="H353" s="4"/>
      <c r="I353" s="4"/>
      <c r="J353" s="4"/>
    </row>
    <row r="354" spans="1:10" ht="15.75" customHeight="1">
      <c r="A354" s="5"/>
      <c r="B354" s="293"/>
      <c r="C354" s="5"/>
      <c r="D354" s="4"/>
      <c r="E354" s="63"/>
      <c r="F354" s="4"/>
      <c r="G354" s="4"/>
      <c r="H354" s="4"/>
      <c r="I354" s="4"/>
      <c r="J354" s="4"/>
    </row>
    <row r="355" spans="1:10" ht="15.75" customHeight="1">
      <c r="A355" s="4"/>
      <c r="B355" s="293"/>
      <c r="C355" s="5"/>
      <c r="D355" s="4"/>
      <c r="E355" s="5"/>
      <c r="F355" s="4"/>
      <c r="G355" s="4"/>
      <c r="H355" s="4"/>
      <c r="I355" s="4"/>
      <c r="J355" s="4"/>
    </row>
    <row r="356" spans="1:10" ht="15.75" customHeight="1">
      <c r="A356" s="23"/>
      <c r="B356" s="294"/>
      <c r="C356" s="5"/>
      <c r="D356" s="4"/>
      <c r="E356" s="4"/>
      <c r="F356" s="4"/>
      <c r="G356" s="4"/>
      <c r="H356" s="4"/>
      <c r="I356" s="4"/>
      <c r="J356" s="4"/>
    </row>
    <row r="357" spans="1:10" ht="15.75" customHeight="1"/>
    <row r="358" spans="1:10" ht="15.75" customHeight="1"/>
    <row r="359" spans="1:10" ht="15.75" customHeight="1"/>
    <row r="360" spans="1:10" ht="15.75" customHeight="1"/>
    <row r="361" spans="1:10" ht="15.75" customHeight="1"/>
    <row r="362" spans="1:10" ht="15.75" customHeight="1"/>
    <row r="363" spans="1:10" ht="15.75" customHeight="1"/>
    <row r="364" spans="1:10" ht="15.75" customHeight="1"/>
    <row r="365" spans="1:10" ht="15.75" customHeight="1"/>
    <row r="366" spans="1:10" ht="15.75" customHeight="1"/>
    <row r="367" spans="1:10" ht="15.75" customHeight="1"/>
    <row r="368" spans="1:10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</sheetData>
  <mergeCells count="8">
    <mergeCell ref="E8:F8"/>
    <mergeCell ref="I59:K59"/>
    <mergeCell ref="AA160:AB160"/>
    <mergeCell ref="A2:B2"/>
    <mergeCell ref="A3:D3"/>
    <mergeCell ref="A4:D4"/>
    <mergeCell ref="A5:B5"/>
    <mergeCell ref="E7:F7"/>
  </mergeCells>
  <hyperlinks>
    <hyperlink ref="C300" r:id="rId1"/>
    <hyperlink ref="C305" r:id="rId2"/>
  </hyperlinks>
  <pageMargins left="0.7" right="0.7" top="0.75" bottom="0.75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99"/>
  <sheetViews>
    <sheetView zoomScale="75" zoomScaleNormal="75" workbookViewId="0">
      <selection activeCell="T74" sqref="T74"/>
    </sheetView>
  </sheetViews>
  <sheetFormatPr defaultColWidth="14.42578125" defaultRowHeight="15" customHeight="1"/>
  <cols>
    <col min="1" max="1" width="42.140625" customWidth="1"/>
    <col min="7" max="7" width="32" customWidth="1"/>
    <col min="8" max="8" width="40.5703125" customWidth="1"/>
  </cols>
  <sheetData>
    <row r="1" spans="1:17" s="316" customFormat="1" ht="15" customHeight="1"/>
    <row r="2" spans="1:17" ht="15" customHeight="1">
      <c r="A2" s="295" t="s">
        <v>373</v>
      </c>
      <c r="B2" s="4"/>
      <c r="C2" s="4"/>
      <c r="D2" s="4"/>
      <c r="E2" s="4"/>
      <c r="F2" s="4"/>
      <c r="I2" s="296" t="s">
        <v>16</v>
      </c>
      <c r="J2" s="297"/>
      <c r="K2" s="297"/>
      <c r="L2" s="297"/>
    </row>
    <row r="3" spans="1:17" ht="15" customHeight="1">
      <c r="A3" s="23" t="s">
        <v>374</v>
      </c>
      <c r="B3" s="298">
        <v>0.2</v>
      </c>
      <c r="C3" s="23" t="s">
        <v>78</v>
      </c>
      <c r="D3" s="4"/>
      <c r="E3" s="4"/>
      <c r="F3" s="4"/>
      <c r="I3" s="299" t="s">
        <v>11</v>
      </c>
      <c r="J3" s="300">
        <f>'แผ่นพื้น-คาน-เสา-ฐานรากวางบนดิน'!B13</f>
        <v>240</v>
      </c>
      <c r="K3" s="301" t="s">
        <v>12</v>
      </c>
      <c r="L3" s="297"/>
    </row>
    <row r="4" spans="1:17" ht="15" customHeight="1">
      <c r="A4" s="23" t="s">
        <v>375</v>
      </c>
      <c r="B4" s="30">
        <v>15</v>
      </c>
      <c r="C4" s="23" t="s">
        <v>376</v>
      </c>
      <c r="D4" s="4"/>
      <c r="E4" s="4"/>
      <c r="F4" s="4"/>
      <c r="I4" s="299" t="s">
        <v>15</v>
      </c>
      <c r="J4" s="300">
        <f>'แผ่นพื้น-คาน-เสา-ฐานรากวางบนดิน'!F15</f>
        <v>3000</v>
      </c>
      <c r="K4" s="301" t="s">
        <v>12</v>
      </c>
      <c r="L4" s="297"/>
    </row>
    <row r="5" spans="1:17" ht="15" customHeight="1">
      <c r="A5" s="23" t="s">
        <v>222</v>
      </c>
      <c r="B5" s="199">
        <v>10.518000000000001</v>
      </c>
      <c r="C5" s="23" t="s">
        <v>124</v>
      </c>
      <c r="D5" s="4"/>
      <c r="E5" s="4"/>
      <c r="F5" s="4"/>
      <c r="I5" s="297"/>
      <c r="J5" s="297"/>
      <c r="K5" s="297"/>
      <c r="L5" s="297"/>
    </row>
    <row r="6" spans="1:17" ht="15" customHeight="1">
      <c r="A6" s="5" t="s">
        <v>225</v>
      </c>
      <c r="B6" s="21">
        <v>20</v>
      </c>
      <c r="C6" s="5" t="s">
        <v>226</v>
      </c>
      <c r="D6" s="4"/>
      <c r="E6" s="4"/>
      <c r="F6" s="4"/>
      <c r="I6" s="31" t="s">
        <v>194</v>
      </c>
      <c r="J6" s="233">
        <f>'แผ่นพื้น-คาน-เสา-ฐานรากวางบนดิน'!B18</f>
        <v>204</v>
      </c>
      <c r="K6" s="23" t="s">
        <v>12</v>
      </c>
      <c r="L6" s="6" t="s">
        <v>18</v>
      </c>
      <c r="P6" s="4"/>
      <c r="Q6" s="4"/>
    </row>
    <row r="7" spans="1:17" ht="15" customHeight="1">
      <c r="E7" s="4"/>
      <c r="F7" s="4"/>
      <c r="I7" s="31"/>
      <c r="J7" s="4"/>
      <c r="K7" s="23"/>
      <c r="L7" s="4"/>
      <c r="O7" s="4"/>
      <c r="P7" s="4"/>
      <c r="Q7" s="4"/>
    </row>
    <row r="8" spans="1:17" ht="15" customHeight="1">
      <c r="A8" s="5" t="s">
        <v>227</v>
      </c>
      <c r="B8" s="242">
        <f>0.2*B5</f>
        <v>2.1036000000000001</v>
      </c>
      <c r="C8" s="5" t="s">
        <v>124</v>
      </c>
      <c r="D8" s="4"/>
      <c r="E8" s="4"/>
      <c r="F8" s="4"/>
      <c r="I8" s="31" t="s">
        <v>27</v>
      </c>
      <c r="J8" s="235">
        <f>'แผ่นพื้น-คาน-เสา-ฐานรากวางบนดิน'!D178</f>
        <v>2.1674999999999996E-2</v>
      </c>
      <c r="K8" s="5"/>
      <c r="L8" s="4"/>
      <c r="O8" s="4"/>
      <c r="P8" s="4"/>
      <c r="Q8" s="4"/>
    </row>
    <row r="9" spans="1:17" ht="15" customHeight="1">
      <c r="A9" s="23" t="s">
        <v>228</v>
      </c>
      <c r="B9" s="251">
        <f>B5+B8</f>
        <v>12.621600000000001</v>
      </c>
      <c r="C9" s="5" t="s">
        <v>124</v>
      </c>
      <c r="D9" s="6" t="s">
        <v>229</v>
      </c>
      <c r="E9" s="4"/>
      <c r="F9" s="4"/>
      <c r="G9" s="4"/>
      <c r="I9" s="31" t="s">
        <v>31</v>
      </c>
      <c r="J9" s="235">
        <f>'แผ่นพื้น-คาน-เสา-ฐานรากวางบนดิน'!D179</f>
        <v>2E-3</v>
      </c>
      <c r="K9" s="5"/>
      <c r="L9" s="4"/>
      <c r="O9" s="4"/>
      <c r="P9" s="4"/>
      <c r="Q9" s="4"/>
    </row>
    <row r="10" spans="1:17" ht="15" customHeight="1">
      <c r="B10" s="302" t="str">
        <f>IF(B9&lt;=B4,"Pe &lt; Pa เลือกใช้จำนวนเสาเข็ม 1 ต้น")</f>
        <v>Pe &lt; Pa เลือกใช้จำนวนเสาเข็ม 1 ต้น</v>
      </c>
      <c r="C10" s="303"/>
      <c r="D10" s="303"/>
      <c r="F10" s="4"/>
      <c r="I10" s="31" t="s">
        <v>21</v>
      </c>
      <c r="J10" s="236">
        <f>'แผ่นพื้น-คาน-เสา-ฐานรากวางบนดิน'!D180</f>
        <v>54.66164062499999</v>
      </c>
      <c r="K10" s="5" t="s">
        <v>12</v>
      </c>
      <c r="L10" s="4"/>
      <c r="O10" s="4"/>
      <c r="P10" s="4"/>
      <c r="Q10" s="4"/>
    </row>
    <row r="11" spans="1:17" ht="15" customHeight="1">
      <c r="A11" s="23"/>
      <c r="B11" s="4"/>
      <c r="C11" s="301"/>
      <c r="D11" s="6"/>
      <c r="E11" s="4"/>
      <c r="F11" s="4"/>
      <c r="I11" s="31" t="s">
        <v>34</v>
      </c>
      <c r="J11" s="237">
        <f>'แผ่นพื้น-คาน-เสา-ฐานรากวางบนดิน'!D181</f>
        <v>0.9</v>
      </c>
      <c r="K11" s="5"/>
      <c r="L11" s="238"/>
      <c r="O11" s="4"/>
      <c r="P11" s="4"/>
      <c r="Q11" s="4"/>
    </row>
    <row r="12" spans="1:17" ht="15" customHeight="1">
      <c r="A12" s="23" t="s">
        <v>377</v>
      </c>
      <c r="B12" s="199">
        <v>7.4999999999999997E-2</v>
      </c>
      <c r="C12" s="23" t="s">
        <v>78</v>
      </c>
      <c r="D12" s="4"/>
      <c r="E12" s="4"/>
      <c r="F12" s="4"/>
      <c r="I12" s="31" t="s">
        <v>36</v>
      </c>
      <c r="J12" s="236">
        <f>'แผ่นพื้น-คาน-เสา-ฐานรากวางบนดิน'!D182</f>
        <v>0.85</v>
      </c>
      <c r="K12" s="5"/>
      <c r="L12" s="239"/>
      <c r="O12" s="4"/>
      <c r="P12" s="4"/>
      <c r="Q12" s="4"/>
    </row>
    <row r="13" spans="1:17" ht="15" customHeight="1">
      <c r="A13" s="23" t="s">
        <v>378</v>
      </c>
      <c r="B13" s="298">
        <v>0.2</v>
      </c>
      <c r="C13" s="23" t="s">
        <v>78</v>
      </c>
      <c r="D13" s="6" t="s">
        <v>379</v>
      </c>
      <c r="E13" s="4"/>
      <c r="F13" s="4"/>
      <c r="I13" s="54" t="s">
        <v>209</v>
      </c>
      <c r="J13" s="242">
        <f>'แผ่นพื้น-คาน-เสา-ฐานรากวางบนดิน'!D183</f>
        <v>8.2107246939597243</v>
      </c>
      <c r="K13" s="5" t="s">
        <v>12</v>
      </c>
      <c r="L13" s="239" t="s">
        <v>210</v>
      </c>
      <c r="O13" s="4"/>
      <c r="P13" s="4"/>
      <c r="Q13" s="4"/>
    </row>
    <row r="14" spans="1:17" ht="15" customHeight="1">
      <c r="A14" s="23" t="s">
        <v>380</v>
      </c>
      <c r="B14" s="304">
        <f>2*B13</f>
        <v>0.4</v>
      </c>
      <c r="C14" s="301" t="s">
        <v>78</v>
      </c>
      <c r="D14" s="6" t="s">
        <v>381</v>
      </c>
      <c r="E14" s="4"/>
      <c r="F14" s="4"/>
      <c r="I14" s="54"/>
      <c r="J14" s="243">
        <f>J13*10000</f>
        <v>82107.246939597244</v>
      </c>
      <c r="K14" s="5" t="s">
        <v>211</v>
      </c>
      <c r="L14" s="5"/>
      <c r="O14" s="4"/>
      <c r="P14" s="4"/>
      <c r="Q14" s="4"/>
    </row>
    <row r="15" spans="1:17" ht="15" customHeight="1">
      <c r="A15" s="23" t="s">
        <v>244</v>
      </c>
      <c r="B15" s="57">
        <f>2*B13+5*B12</f>
        <v>0.77500000000000002</v>
      </c>
      <c r="C15" s="301" t="s">
        <v>78</v>
      </c>
      <c r="D15" s="6" t="s">
        <v>382</v>
      </c>
      <c r="E15" s="4"/>
      <c r="F15" s="4"/>
      <c r="I15" s="31" t="s">
        <v>213</v>
      </c>
      <c r="J15" s="242">
        <f>'แผ่นพื้น-คาน-เสา-ฐานรากวางบนดิน'!D185</f>
        <v>15.491933384829668</v>
      </c>
      <c r="K15" s="5" t="s">
        <v>12</v>
      </c>
      <c r="L15" s="6" t="s">
        <v>214</v>
      </c>
      <c r="O15" s="4"/>
      <c r="P15" s="4"/>
      <c r="Q15" s="4"/>
    </row>
    <row r="16" spans="1:17" ht="15" customHeight="1">
      <c r="A16" s="23" t="s">
        <v>383</v>
      </c>
      <c r="B16" s="298">
        <v>0.8</v>
      </c>
      <c r="C16" s="23" t="s">
        <v>78</v>
      </c>
      <c r="D16" s="6" t="s">
        <v>384</v>
      </c>
      <c r="E16" s="4"/>
      <c r="F16" s="4"/>
      <c r="I16" s="5"/>
      <c r="J16" s="243">
        <f>J15*10000</f>
        <v>154919.33384829669</v>
      </c>
      <c r="K16" s="5" t="s">
        <v>211</v>
      </c>
      <c r="L16" s="4"/>
      <c r="O16" s="4"/>
      <c r="P16" s="4"/>
      <c r="Q16" s="4"/>
    </row>
    <row r="17" spans="1:14" ht="15" customHeight="1">
      <c r="A17" s="4"/>
      <c r="B17" s="4"/>
      <c r="C17" s="4"/>
      <c r="D17" s="4"/>
      <c r="E17" s="4"/>
      <c r="F17" s="4"/>
    </row>
    <row r="18" spans="1:14" ht="15" customHeight="1">
      <c r="A18" s="23" t="s">
        <v>195</v>
      </c>
      <c r="B18" s="57">
        <f>2.4*B16^2*B14</f>
        <v>0.61440000000000017</v>
      </c>
      <c r="C18" s="23" t="s">
        <v>124</v>
      </c>
      <c r="D18" s="6" t="s">
        <v>385</v>
      </c>
      <c r="E18" s="4"/>
      <c r="F18" s="4"/>
    </row>
    <row r="19" spans="1:14" ht="15" customHeight="1">
      <c r="A19" s="23" t="s">
        <v>386</v>
      </c>
      <c r="B19" s="57">
        <f>B5+B18</f>
        <v>11.132400000000001</v>
      </c>
      <c r="C19" s="23" t="s">
        <v>124</v>
      </c>
      <c r="D19" s="277" t="str">
        <f>IF(B19&lt;=B4,"&lt;","&gt;")</f>
        <v>&lt;</v>
      </c>
      <c r="E19" s="305">
        <f>B4</f>
        <v>15</v>
      </c>
      <c r="F19" s="23" t="s">
        <v>124</v>
      </c>
      <c r="G19" s="306" t="str">
        <f>IF(B19&lt;=B4,"ผ่าน","ไม่ผ่าน")</f>
        <v>ผ่าน</v>
      </c>
    </row>
    <row r="20" spans="1:14" ht="15" customHeight="1">
      <c r="A20" s="4"/>
      <c r="B20" s="4"/>
      <c r="C20" s="4"/>
      <c r="D20" s="4"/>
      <c r="E20" s="4"/>
      <c r="F20" s="4"/>
    </row>
    <row r="21" spans="1:14" ht="15" customHeight="1">
      <c r="A21" s="23" t="s">
        <v>31</v>
      </c>
      <c r="B21" s="36">
        <f>IF($F$17&lt;4000,0.002,0.0018)</f>
        <v>2E-3</v>
      </c>
      <c r="C21" s="23"/>
      <c r="D21" s="4"/>
      <c r="E21" s="4"/>
      <c r="F21" s="4"/>
    </row>
    <row r="22" spans="1:14" ht="15" customHeight="1">
      <c r="A22" s="23" t="s">
        <v>258</v>
      </c>
      <c r="B22" s="57">
        <f>B21*B16*B14*10000</f>
        <v>6.4</v>
      </c>
      <c r="C22" s="58" t="s">
        <v>52</v>
      </c>
      <c r="D22" s="6" t="s">
        <v>387</v>
      </c>
      <c r="E22" s="4"/>
      <c r="F22" s="4"/>
    </row>
    <row r="23" spans="1:14" ht="15" customHeight="1">
      <c r="A23" s="23" t="s">
        <v>388</v>
      </c>
      <c r="B23" s="4"/>
      <c r="C23" s="4"/>
      <c r="D23" s="4"/>
      <c r="E23" s="4"/>
      <c r="F23" s="4"/>
    </row>
    <row r="24" spans="1:14" ht="15" customHeight="1">
      <c r="A24" s="31" t="s">
        <v>174</v>
      </c>
      <c r="B24" s="23">
        <v>8</v>
      </c>
      <c r="C24" s="23" t="s">
        <v>389</v>
      </c>
      <c r="D24" s="6" t="s">
        <v>390</v>
      </c>
      <c r="E24" s="4"/>
      <c r="F24" s="4"/>
    </row>
    <row r="25" spans="1:14" ht="15" customHeight="1">
      <c r="A25" s="31" t="s">
        <v>105</v>
      </c>
      <c r="B25" s="57">
        <f>B24*PI()</f>
        <v>25.132741228718345</v>
      </c>
      <c r="C25" s="58" t="s">
        <v>52</v>
      </c>
      <c r="D25" s="277" t="str">
        <f>IF(B25&gt;=B22,"&gt;","&lt;")</f>
        <v>&gt;</v>
      </c>
      <c r="E25" s="223">
        <f>B22</f>
        <v>6.4</v>
      </c>
      <c r="F25" s="4" t="str">
        <f>IF(B25&gt;=B22,"ผ่าน","ไม่ผ่าน")</f>
        <v>ผ่าน</v>
      </c>
    </row>
    <row r="26" spans="1:14" ht="15" customHeight="1">
      <c r="A26" s="31" t="s">
        <v>277</v>
      </c>
      <c r="B26" s="4">
        <f>IF(B24=8,(B16-2*B12-3*0.002)/2)</f>
        <v>0.32200000000000001</v>
      </c>
      <c r="C26" s="23" t="s">
        <v>78</v>
      </c>
      <c r="D26" s="4"/>
      <c r="E26" s="4"/>
      <c r="F26" s="4"/>
    </row>
    <row r="27" spans="1:14" ht="15" customHeight="1">
      <c r="A27" s="4"/>
      <c r="B27" s="4"/>
      <c r="C27" s="4"/>
      <c r="D27" s="4"/>
      <c r="E27" s="4"/>
      <c r="F27" s="4"/>
    </row>
    <row r="28" spans="1:14" ht="15" customHeight="1">
      <c r="A28" s="4"/>
      <c r="B28" s="4"/>
      <c r="C28" s="4"/>
      <c r="D28" s="4"/>
      <c r="E28" s="4"/>
      <c r="F28" s="4"/>
    </row>
    <row r="29" spans="1:14" ht="15" customHeight="1">
      <c r="A29" s="295" t="s">
        <v>391</v>
      </c>
      <c r="B29" s="4"/>
      <c r="C29" s="4"/>
      <c r="D29" s="4"/>
      <c r="E29" s="4"/>
      <c r="F29" s="4"/>
    </row>
    <row r="30" spans="1:14" ht="15" customHeight="1">
      <c r="A30" s="23" t="s">
        <v>392</v>
      </c>
      <c r="B30" s="298">
        <v>0.18</v>
      </c>
      <c r="C30" s="23" t="s">
        <v>78</v>
      </c>
      <c r="D30" s="4"/>
      <c r="E30" s="4"/>
      <c r="F30" s="4"/>
      <c r="H30" s="19" t="s">
        <v>230</v>
      </c>
      <c r="I30" s="4"/>
      <c r="J30" s="4"/>
      <c r="K30" s="4"/>
      <c r="L30" s="4"/>
      <c r="M30" s="4"/>
      <c r="N30" s="4"/>
    </row>
    <row r="31" spans="1:14" ht="15" customHeight="1">
      <c r="A31" s="23" t="s">
        <v>375</v>
      </c>
      <c r="B31" s="30">
        <v>12</v>
      </c>
      <c r="C31" s="23" t="s">
        <v>376</v>
      </c>
      <c r="D31" s="4"/>
      <c r="E31" s="4"/>
      <c r="F31" s="4"/>
      <c r="H31" s="31" t="s">
        <v>232</v>
      </c>
      <c r="I31" s="198">
        <f>J12*J16*(4*B58^2+4*B42*B58)/1000</f>
        <v>79.008860262631302</v>
      </c>
      <c r="J31" s="23" t="s">
        <v>124</v>
      </c>
      <c r="K31" s="249" t="s">
        <v>233</v>
      </c>
      <c r="L31" s="57"/>
      <c r="M31" s="4"/>
      <c r="N31" s="4"/>
    </row>
    <row r="32" spans="1:14" ht="15" customHeight="1">
      <c r="A32" s="23" t="s">
        <v>222</v>
      </c>
      <c r="B32" s="199">
        <v>19.658999999999999</v>
      </c>
      <c r="C32" s="23" t="s">
        <v>124</v>
      </c>
      <c r="D32" s="4"/>
      <c r="E32" s="4"/>
      <c r="F32" s="4"/>
      <c r="H32" s="31" t="s">
        <v>393</v>
      </c>
      <c r="I32" s="57">
        <f>(B42+B58)/2</f>
        <v>0.25</v>
      </c>
      <c r="J32" s="23" t="s">
        <v>78</v>
      </c>
      <c r="K32" s="249" t="s">
        <v>394</v>
      </c>
      <c r="L32" s="57"/>
      <c r="M32" s="4"/>
      <c r="N32" s="4"/>
    </row>
    <row r="33" spans="1:14" ht="15" customHeight="1">
      <c r="A33" s="5" t="s">
        <v>225</v>
      </c>
      <c r="B33" s="21">
        <v>20</v>
      </c>
      <c r="C33" s="5" t="s">
        <v>226</v>
      </c>
      <c r="D33" s="4"/>
      <c r="E33" s="4"/>
      <c r="F33" s="4"/>
      <c r="H33" s="31" t="s">
        <v>395</v>
      </c>
      <c r="I33" s="57">
        <f>(B45/2)-I32</f>
        <v>4.9999999999999989E-2</v>
      </c>
      <c r="J33" s="23" t="s">
        <v>78</v>
      </c>
      <c r="K33" s="249" t="s">
        <v>396</v>
      </c>
      <c r="L33" s="57"/>
      <c r="M33" s="4"/>
      <c r="N33" s="4"/>
    </row>
    <row r="34" spans="1:14" ht="15" customHeight="1">
      <c r="A34" s="23" t="s">
        <v>231</v>
      </c>
      <c r="B34" s="199">
        <v>28.456</v>
      </c>
      <c r="C34" s="23" t="s">
        <v>124</v>
      </c>
      <c r="E34" s="4"/>
      <c r="F34" s="4"/>
      <c r="H34" s="31" t="s">
        <v>397</v>
      </c>
      <c r="I34" s="57">
        <f>2*B70*(0.5+I33/B30)</f>
        <v>22.769444444444442</v>
      </c>
      <c r="J34" s="23" t="s">
        <v>124</v>
      </c>
      <c r="K34" s="249" t="s">
        <v>398</v>
      </c>
      <c r="L34" s="57"/>
      <c r="M34" s="4"/>
      <c r="N34" s="4"/>
    </row>
    <row r="35" spans="1:14" ht="15" customHeight="1">
      <c r="A35" s="5"/>
      <c r="B35" s="307"/>
      <c r="C35" s="5"/>
      <c r="D35" s="4"/>
      <c r="E35" s="4"/>
      <c r="F35" s="4"/>
      <c r="H35" s="31" t="s">
        <v>236</v>
      </c>
      <c r="I35" s="198">
        <f>IF(I34&lt;=2*B70,I34,2*B70)</f>
        <v>22.769444444444442</v>
      </c>
      <c r="J35" s="23" t="s">
        <v>124</v>
      </c>
      <c r="K35" s="301" t="s">
        <v>399</v>
      </c>
      <c r="L35" s="57"/>
      <c r="M35" s="4"/>
      <c r="N35" s="4"/>
    </row>
    <row r="36" spans="1:14" ht="15" customHeight="1">
      <c r="A36" s="5" t="s">
        <v>227</v>
      </c>
      <c r="B36" s="242">
        <f>0.2*B32</f>
        <v>3.9318</v>
      </c>
      <c r="C36" s="5" t="s">
        <v>124</v>
      </c>
      <c r="D36" s="4"/>
      <c r="E36" s="4"/>
      <c r="F36" s="4"/>
      <c r="H36" s="31" t="s">
        <v>236</v>
      </c>
      <c r="I36" s="240" t="str">
        <f>IF(I35&lt;=I31,"&lt;","&gt;")</f>
        <v>&lt;</v>
      </c>
      <c r="J36" s="23" t="s">
        <v>232</v>
      </c>
      <c r="K36" s="241" t="str">
        <f>IF(I35&lt;=I31,"ผ่าน","ไม่ผ่าน")</f>
        <v>ผ่าน</v>
      </c>
      <c r="L36" s="4"/>
      <c r="M36" s="4"/>
      <c r="N36" s="4"/>
    </row>
    <row r="37" spans="1:14" ht="15" customHeight="1">
      <c r="A37" s="23" t="s">
        <v>228</v>
      </c>
      <c r="B37" s="251">
        <f>B32+B36</f>
        <v>23.590799999999998</v>
      </c>
      <c r="C37" s="5" t="s">
        <v>124</v>
      </c>
      <c r="D37" s="6" t="s">
        <v>229</v>
      </c>
      <c r="E37" s="4"/>
      <c r="F37" s="4"/>
      <c r="G37" s="4"/>
      <c r="H37" s="4"/>
      <c r="M37" s="4"/>
      <c r="N37" s="4"/>
    </row>
    <row r="38" spans="1:14" ht="15" customHeight="1">
      <c r="A38" s="23" t="s">
        <v>400</v>
      </c>
      <c r="B38" s="256">
        <f>B37/B31</f>
        <v>1.9658999999999998</v>
      </c>
      <c r="C38" s="23" t="s">
        <v>401</v>
      </c>
      <c r="F38" s="4"/>
      <c r="H38" s="19" t="s">
        <v>217</v>
      </c>
      <c r="K38" s="4"/>
      <c r="L38" s="4"/>
      <c r="M38" s="4"/>
      <c r="N38" s="4"/>
    </row>
    <row r="39" spans="1:14" ht="15" customHeight="1">
      <c r="A39" s="23" t="s">
        <v>402</v>
      </c>
      <c r="B39" s="308">
        <v>2</v>
      </c>
      <c r="C39" s="23" t="s">
        <v>401</v>
      </c>
      <c r="F39" s="4"/>
      <c r="H39" s="31" t="s">
        <v>220</v>
      </c>
      <c r="I39" s="198">
        <f>J12*J14*B62*B58/1000</f>
        <v>13.609276180238245</v>
      </c>
      <c r="J39" s="246" t="s">
        <v>124</v>
      </c>
      <c r="K39" s="247" t="s">
        <v>221</v>
      </c>
      <c r="M39" s="4"/>
      <c r="N39" s="4"/>
    </row>
    <row r="40" spans="1:14" ht="15" customHeight="1">
      <c r="A40" s="4"/>
      <c r="B40" s="4"/>
      <c r="C40" s="4"/>
      <c r="D40" s="4"/>
      <c r="E40" s="4"/>
      <c r="F40" s="4"/>
      <c r="H40" s="31" t="s">
        <v>393</v>
      </c>
      <c r="I40" s="57">
        <f>B42/2+B58</f>
        <v>0.4</v>
      </c>
      <c r="J40" s="23" t="s">
        <v>78</v>
      </c>
      <c r="K40" s="249" t="s">
        <v>403</v>
      </c>
      <c r="N40" s="57"/>
    </row>
    <row r="41" spans="1:14" ht="18.75">
      <c r="A41" s="23" t="s">
        <v>377</v>
      </c>
      <c r="B41" s="199">
        <v>7.4999999999999997E-2</v>
      </c>
      <c r="C41" s="23" t="s">
        <v>78</v>
      </c>
      <c r="D41" s="4"/>
      <c r="E41" s="4"/>
      <c r="F41" s="4"/>
      <c r="H41" s="31" t="s">
        <v>395</v>
      </c>
      <c r="I41" s="57">
        <f>B45/2-I40</f>
        <v>-0.10000000000000003</v>
      </c>
      <c r="J41" s="23" t="s">
        <v>78</v>
      </c>
      <c r="K41" s="249" t="s">
        <v>396</v>
      </c>
      <c r="N41" s="57"/>
    </row>
    <row r="42" spans="1:14" ht="18.75">
      <c r="A42" s="23" t="s">
        <v>218</v>
      </c>
      <c r="B42" s="298">
        <v>0.2</v>
      </c>
      <c r="C42" s="23" t="s">
        <v>78</v>
      </c>
      <c r="D42" s="6"/>
      <c r="E42" s="4"/>
      <c r="F42" s="4"/>
      <c r="H42" s="31" t="s">
        <v>404</v>
      </c>
      <c r="I42" s="57">
        <f>B70*(0.5+I41/B30)</f>
        <v>-0.81319444444444799</v>
      </c>
      <c r="J42" s="23" t="s">
        <v>124</v>
      </c>
      <c r="K42" s="249" t="s">
        <v>405</v>
      </c>
      <c r="N42" s="57"/>
    </row>
    <row r="43" spans="1:14" ht="18.75">
      <c r="A43" s="23" t="s">
        <v>378</v>
      </c>
      <c r="B43" s="298">
        <v>0.2</v>
      </c>
      <c r="C43" s="23" t="s">
        <v>78</v>
      </c>
      <c r="D43" s="6" t="s">
        <v>379</v>
      </c>
      <c r="E43" s="4"/>
      <c r="F43" s="4"/>
      <c r="H43" s="31" t="s">
        <v>223</v>
      </c>
      <c r="I43" s="198">
        <f>IF(I42&gt;0,I42,0)</f>
        <v>0</v>
      </c>
      <c r="J43" s="23" t="s">
        <v>124</v>
      </c>
      <c r="K43" s="23" t="s">
        <v>406</v>
      </c>
      <c r="N43" s="57"/>
    </row>
    <row r="44" spans="1:14" ht="18.75">
      <c r="A44" s="23" t="s">
        <v>407</v>
      </c>
      <c r="B44" s="309">
        <f>3*B43</f>
        <v>0.60000000000000009</v>
      </c>
      <c r="C44" s="23" t="s">
        <v>78</v>
      </c>
      <c r="D44" s="6" t="s">
        <v>408</v>
      </c>
      <c r="E44" s="4"/>
      <c r="F44" s="4"/>
      <c r="H44" s="31" t="s">
        <v>223</v>
      </c>
      <c r="I44" s="310" t="str">
        <f>IF(I43&lt;=I39,"&lt;","&gt;")</f>
        <v>&lt;</v>
      </c>
      <c r="J44" s="246" t="s">
        <v>220</v>
      </c>
      <c r="K44" s="241" t="str">
        <f>IF(I43&lt;=I39,"ผ่าน","ไม่ผ่าน")</f>
        <v>ผ่าน</v>
      </c>
      <c r="N44" s="57"/>
    </row>
    <row r="45" spans="1:14" ht="18.75">
      <c r="A45" s="23" t="s">
        <v>409</v>
      </c>
      <c r="B45" s="298">
        <v>0.6</v>
      </c>
      <c r="C45" s="301" t="s">
        <v>78</v>
      </c>
      <c r="L45" s="214"/>
      <c r="M45" s="4"/>
      <c r="N45" s="4"/>
    </row>
    <row r="46" spans="1:14" ht="18.75">
      <c r="A46" s="23" t="s">
        <v>410</v>
      </c>
      <c r="B46" s="309">
        <f>B43</f>
        <v>0.2</v>
      </c>
      <c r="C46" s="23" t="s">
        <v>78</v>
      </c>
      <c r="D46" s="23" t="s">
        <v>411</v>
      </c>
      <c r="H46" s="19" t="s">
        <v>241</v>
      </c>
    </row>
    <row r="47" spans="1:14" ht="18.75">
      <c r="A47" s="23" t="s">
        <v>412</v>
      </c>
      <c r="B47" s="298">
        <v>0.2</v>
      </c>
      <c r="C47" s="23" t="s">
        <v>78</v>
      </c>
      <c r="E47" s="4"/>
      <c r="F47" s="4"/>
      <c r="G47" s="4"/>
      <c r="H47" s="31" t="s">
        <v>122</v>
      </c>
      <c r="I47" s="198">
        <f>J11*J10*B62*(B58*100)^2/1000</f>
        <v>28.779353789062498</v>
      </c>
      <c r="J47" s="23" t="s">
        <v>121</v>
      </c>
      <c r="K47" s="249" t="s">
        <v>243</v>
      </c>
      <c r="M47" s="4"/>
    </row>
    <row r="48" spans="1:14" ht="18.75">
      <c r="A48" s="19" t="s">
        <v>413</v>
      </c>
      <c r="B48" s="309">
        <f>B45+2*B47</f>
        <v>1</v>
      </c>
      <c r="C48" s="23" t="s">
        <v>78</v>
      </c>
      <c r="D48" s="6" t="s">
        <v>414</v>
      </c>
      <c r="E48" s="4"/>
      <c r="F48" s="4"/>
      <c r="G48" s="4"/>
      <c r="H48" s="31" t="s">
        <v>99</v>
      </c>
      <c r="I48" s="198">
        <f>B70*1000*(B45-B42)/2/1000</f>
        <v>2.9274999999999993</v>
      </c>
      <c r="J48" s="23" t="s">
        <v>121</v>
      </c>
      <c r="K48" s="6" t="s">
        <v>415</v>
      </c>
      <c r="M48" s="7"/>
    </row>
    <row r="49" spans="1:15" ht="18.75">
      <c r="A49" s="23"/>
      <c r="B49" s="33"/>
      <c r="C49" s="23"/>
      <c r="D49" s="6"/>
      <c r="E49" s="4"/>
      <c r="F49" s="4"/>
      <c r="G49" s="4"/>
      <c r="H49" s="31" t="s">
        <v>99</v>
      </c>
      <c r="I49" s="240" t="str">
        <f>IF(I48&lt;=I47,"&lt;","&gt;")</f>
        <v>&lt;</v>
      </c>
      <c r="J49" s="246" t="s">
        <v>122</v>
      </c>
      <c r="K49" s="241" t="str">
        <f>IF(I48&lt;=I47,"ผ่าน","ไม่ผ่าน")</f>
        <v>ผ่าน</v>
      </c>
      <c r="L49" s="57"/>
      <c r="M49" s="250"/>
    </row>
    <row r="50" spans="1:15" ht="18.75">
      <c r="A50" s="19" t="s">
        <v>252</v>
      </c>
      <c r="L50" s="93"/>
      <c r="M50" s="214"/>
    </row>
    <row r="51" spans="1:15" ht="18.75">
      <c r="A51" s="23" t="s">
        <v>254</v>
      </c>
      <c r="B51" s="23">
        <v>30</v>
      </c>
      <c r="C51" s="23" t="s">
        <v>62</v>
      </c>
      <c r="D51" s="6" t="s">
        <v>255</v>
      </c>
      <c r="H51" s="17" t="s">
        <v>251</v>
      </c>
      <c r="I51" s="4"/>
      <c r="J51" s="4"/>
      <c r="K51" s="4"/>
      <c r="L51" s="57"/>
    </row>
    <row r="52" spans="1:15" ht="18.75">
      <c r="A52" s="23" t="s">
        <v>257</v>
      </c>
      <c r="B52" s="30">
        <v>12</v>
      </c>
      <c r="C52" s="23" t="s">
        <v>47</v>
      </c>
      <c r="H52" s="311" t="s">
        <v>416</v>
      </c>
    </row>
    <row r="53" spans="1:15" ht="18.75">
      <c r="A53" s="31" t="s">
        <v>261</v>
      </c>
      <c r="B53" s="57">
        <f>PI()*(B52/10)^2/4</f>
        <v>1.1309733552923256</v>
      </c>
      <c r="C53" s="23" t="s">
        <v>259</v>
      </c>
      <c r="H53" s="31" t="s">
        <v>100</v>
      </c>
      <c r="I53" s="32">
        <f>I48*1000/J11/B62/(B58*100)^2</f>
        <v>5.5603038936372267</v>
      </c>
      <c r="J53" s="193" t="s">
        <v>12</v>
      </c>
      <c r="K53" s="23" t="s">
        <v>253</v>
      </c>
      <c r="L53" s="4"/>
    </row>
    <row r="54" spans="1:15" ht="18.75">
      <c r="A54" s="23" t="s">
        <v>417</v>
      </c>
      <c r="B54" s="256">
        <f>IF($J$4*(B52/10)/13.3/SQRT($J$3)&gt;30,$J$4*(B52/10)/13.3/SQRT($J$3),30)</f>
        <v>30</v>
      </c>
      <c r="C54" s="23" t="s">
        <v>62</v>
      </c>
      <c r="D54" s="23" t="s">
        <v>265</v>
      </c>
      <c r="G54" s="4"/>
      <c r="H54" s="31" t="s">
        <v>102</v>
      </c>
      <c r="I54" s="37">
        <f>(J6/J4)*(1-SQRT(1-2*I53/J6))</f>
        <v>1.8794064594462971E-3</v>
      </c>
      <c r="J54" s="214"/>
      <c r="K54" s="23" t="s">
        <v>256</v>
      </c>
      <c r="L54" s="4"/>
    </row>
    <row r="55" spans="1:15" ht="18.75">
      <c r="A55" s="23" t="s">
        <v>268</v>
      </c>
      <c r="B55" s="256">
        <f>((B48-B42)/2 - B41)*100</f>
        <v>32.5</v>
      </c>
      <c r="C55" s="23" t="s">
        <v>62</v>
      </c>
      <c r="D55" s="23" t="s">
        <v>418</v>
      </c>
      <c r="G55" s="4"/>
      <c r="H55" s="31" t="s">
        <v>258</v>
      </c>
      <c r="I55" s="57">
        <f>I54*B62*B58*10000</f>
        <v>3.6648425959202791</v>
      </c>
      <c r="J55" s="193" t="s">
        <v>259</v>
      </c>
      <c r="K55" s="23" t="s">
        <v>260</v>
      </c>
      <c r="L55" s="4"/>
    </row>
    <row r="56" spans="1:15" ht="18.75">
      <c r="A56" s="31" t="s">
        <v>270</v>
      </c>
      <c r="B56" s="240" t="str">
        <f>IF(B55&gt;=B54,"&gt;","&lt;")</f>
        <v>&gt;</v>
      </c>
      <c r="C56" s="23" t="s">
        <v>271</v>
      </c>
      <c r="D56" s="241" t="str">
        <f>IF(B54&lt;=B55,"ผ่าน","ไม่ผ่าน")</f>
        <v>ผ่าน</v>
      </c>
      <c r="E56" s="23" t="s">
        <v>272</v>
      </c>
      <c r="H56" s="31" t="s">
        <v>262</v>
      </c>
      <c r="I56" s="57">
        <f>J9*B62*B59*10000</f>
        <v>4.8750000000000009</v>
      </c>
      <c r="J56" s="255" t="s">
        <v>259</v>
      </c>
      <c r="K56" s="23" t="s">
        <v>419</v>
      </c>
      <c r="M56" s="57"/>
    </row>
    <row r="57" spans="1:15" ht="18.75">
      <c r="F57" s="4"/>
      <c r="G57" s="4"/>
      <c r="H57" s="31" t="s">
        <v>266</v>
      </c>
      <c r="I57" s="57">
        <f>IF(I55&gt;=I56,I55,I56)</f>
        <v>4.8750000000000009</v>
      </c>
      <c r="J57" s="23" t="s">
        <v>259</v>
      </c>
      <c r="K57" s="23" t="s">
        <v>267</v>
      </c>
      <c r="L57" s="4"/>
      <c r="M57" s="57"/>
      <c r="O57" s="221"/>
    </row>
    <row r="58" spans="1:15" ht="18.75">
      <c r="A58" s="23" t="s">
        <v>420</v>
      </c>
      <c r="B58" s="298">
        <v>0.3</v>
      </c>
      <c r="C58" s="23" t="s">
        <v>78</v>
      </c>
      <c r="D58" s="6" t="s">
        <v>421</v>
      </c>
      <c r="E58" s="4"/>
      <c r="F58" s="4"/>
      <c r="G58" s="4"/>
      <c r="H58" s="31" t="s">
        <v>422</v>
      </c>
      <c r="I58" s="312">
        <f>I57/B53</f>
        <v>4.3104463754054994</v>
      </c>
      <c r="J58" s="23" t="s">
        <v>389</v>
      </c>
      <c r="K58" s="23" t="s">
        <v>423</v>
      </c>
      <c r="M58" s="57"/>
      <c r="O58" s="4"/>
    </row>
    <row r="59" spans="1:15" ht="18.75">
      <c r="A59" s="19" t="s">
        <v>380</v>
      </c>
      <c r="B59" s="313">
        <f>B58+B41</f>
        <v>0.375</v>
      </c>
      <c r="C59" s="4"/>
      <c r="D59" s="23" t="s">
        <v>303</v>
      </c>
      <c r="E59" s="4"/>
      <c r="H59" s="31" t="s">
        <v>424</v>
      </c>
      <c r="I59" s="308">
        <v>5</v>
      </c>
      <c r="J59" s="23" t="s">
        <v>425</v>
      </c>
      <c r="K59" s="4"/>
      <c r="M59" s="93"/>
      <c r="N59" s="93"/>
      <c r="O59" s="4"/>
    </row>
    <row r="60" spans="1:15" ht="18.75">
      <c r="A60" s="23" t="s">
        <v>381</v>
      </c>
      <c r="B60" s="33">
        <f>2*B43</f>
        <v>0.4</v>
      </c>
      <c r="C60" s="23" t="s">
        <v>78</v>
      </c>
      <c r="D60" s="4"/>
      <c r="E60" s="4"/>
      <c r="H60" s="31" t="s">
        <v>277</v>
      </c>
      <c r="I60" s="57">
        <f>(B62-2*B41)/(I59-1)</f>
        <v>0.125</v>
      </c>
      <c r="J60" s="23" t="s">
        <v>78</v>
      </c>
      <c r="K60" s="23" t="s">
        <v>426</v>
      </c>
      <c r="M60" s="6" t="s">
        <v>278</v>
      </c>
      <c r="O60" s="4"/>
    </row>
    <row r="61" spans="1:15" ht="18.75">
      <c r="A61" s="23" t="s">
        <v>427</v>
      </c>
      <c r="B61" s="32">
        <f>B42+B58+2*B41</f>
        <v>0.65</v>
      </c>
      <c r="C61" s="23" t="s">
        <v>78</v>
      </c>
      <c r="D61" s="4"/>
      <c r="E61" s="4"/>
      <c r="H61" s="311" t="s">
        <v>428</v>
      </c>
      <c r="O61" s="214"/>
    </row>
    <row r="62" spans="1:15" ht="18.75">
      <c r="A62" s="19" t="s">
        <v>429</v>
      </c>
      <c r="B62" s="298">
        <v>0.65</v>
      </c>
      <c r="C62" s="23" t="s">
        <v>78</v>
      </c>
      <c r="D62" s="23" t="s">
        <v>430</v>
      </c>
      <c r="E62" s="4"/>
      <c r="H62" s="31" t="s">
        <v>258</v>
      </c>
      <c r="I62" s="57">
        <f>J9*B48*B59*10000</f>
        <v>7.5</v>
      </c>
      <c r="J62" s="23" t="s">
        <v>259</v>
      </c>
      <c r="K62" s="23" t="s">
        <v>431</v>
      </c>
      <c r="O62" s="214"/>
    </row>
    <row r="63" spans="1:15" ht="18.75">
      <c r="H63" s="31" t="s">
        <v>422</v>
      </c>
      <c r="I63" s="312">
        <f>I62/B53</f>
        <v>6.6314559621623053</v>
      </c>
      <c r="J63" s="23" t="s">
        <v>389</v>
      </c>
      <c r="K63" s="23" t="s">
        <v>432</v>
      </c>
      <c r="O63" s="214"/>
    </row>
    <row r="64" spans="1:15" ht="18.75">
      <c r="A64" s="19" t="s">
        <v>193</v>
      </c>
      <c r="H64" s="31" t="s">
        <v>424</v>
      </c>
      <c r="I64" s="308">
        <v>7</v>
      </c>
      <c r="J64" s="23" t="s">
        <v>425</v>
      </c>
      <c r="K64" s="4"/>
      <c r="O64" s="214"/>
    </row>
    <row r="65" spans="1:15" ht="18.75">
      <c r="A65" s="23" t="s">
        <v>195</v>
      </c>
      <c r="B65" s="57">
        <f>2.4*B62*B48*B59</f>
        <v>0.58499999999999996</v>
      </c>
      <c r="C65" s="5" t="s">
        <v>124</v>
      </c>
      <c r="D65" s="6" t="s">
        <v>433</v>
      </c>
      <c r="H65" s="31" t="s">
        <v>277</v>
      </c>
      <c r="I65" s="57">
        <f>(B48-2*B41)/(I64-1)</f>
        <v>0.14166666666666666</v>
      </c>
      <c r="J65" s="23" t="s">
        <v>78</v>
      </c>
      <c r="K65" s="23" t="s">
        <v>434</v>
      </c>
      <c r="M65" s="6" t="s">
        <v>278</v>
      </c>
      <c r="O65" s="4"/>
    </row>
    <row r="66" spans="1:15" ht="18.75">
      <c r="A66" s="23" t="s">
        <v>197</v>
      </c>
      <c r="B66" s="198">
        <f>B32+B65</f>
        <v>20.244</v>
      </c>
      <c r="C66" s="5" t="s">
        <v>124</v>
      </c>
      <c r="D66" s="6" t="s">
        <v>198</v>
      </c>
      <c r="M66" s="4"/>
      <c r="O66" s="57"/>
    </row>
    <row r="67" spans="1:15" ht="18.75">
      <c r="A67" s="314" t="s">
        <v>435</v>
      </c>
      <c r="B67" s="198">
        <f>B39*B31</f>
        <v>24</v>
      </c>
      <c r="C67" s="23" t="s">
        <v>124</v>
      </c>
      <c r="D67" s="19" t="str">
        <f>IF(B66&lt;=B67,"P &lt; 2Pa ผ่าน")</f>
        <v>P &lt; 2Pa ผ่าน</v>
      </c>
    </row>
    <row r="68" spans="1:15" ht="18.75">
      <c r="A68" s="23" t="s">
        <v>199</v>
      </c>
      <c r="B68" s="57">
        <f>1.4*B65</f>
        <v>0.81899999999999995</v>
      </c>
      <c r="C68" s="23" t="s">
        <v>124</v>
      </c>
      <c r="D68" s="23" t="s">
        <v>200</v>
      </c>
    </row>
    <row r="69" spans="1:15" ht="18.75">
      <c r="A69" s="23" t="s">
        <v>201</v>
      </c>
      <c r="B69" s="198">
        <f>B34+B68</f>
        <v>29.274999999999999</v>
      </c>
      <c r="C69" s="23" t="s">
        <v>124</v>
      </c>
      <c r="D69" s="6" t="s">
        <v>202</v>
      </c>
    </row>
    <row r="70" spans="1:15" ht="18.75">
      <c r="A70" s="23" t="s">
        <v>436</v>
      </c>
      <c r="B70" s="198">
        <f>B69/2</f>
        <v>14.637499999999999</v>
      </c>
      <c r="C70" s="23" t="s">
        <v>376</v>
      </c>
      <c r="D70" s="23" t="s">
        <v>437</v>
      </c>
    </row>
    <row r="72" spans="1:15" ht="18.75">
      <c r="A72" s="4"/>
      <c r="B72" s="4"/>
      <c r="C72" s="4"/>
      <c r="D72" s="4"/>
      <c r="E72" s="4"/>
      <c r="F72" s="4"/>
      <c r="G72" s="4"/>
    </row>
    <row r="73" spans="1:15" ht="18.75">
      <c r="A73" s="295" t="s">
        <v>438</v>
      </c>
      <c r="B73" s="4"/>
      <c r="C73" s="4"/>
      <c r="D73" s="4"/>
      <c r="E73" s="4"/>
    </row>
    <row r="74" spans="1:15" ht="18.75">
      <c r="A74" s="23" t="s">
        <v>392</v>
      </c>
      <c r="B74" s="298">
        <v>0.18</v>
      </c>
      <c r="C74" s="23" t="s">
        <v>78</v>
      </c>
      <c r="D74" s="4"/>
      <c r="E74" s="4"/>
      <c r="F74" s="4"/>
      <c r="H74" s="19" t="s">
        <v>230</v>
      </c>
      <c r="I74" s="4"/>
      <c r="J74" s="4"/>
      <c r="K74" s="4"/>
      <c r="L74" s="4"/>
      <c r="M74" s="4"/>
    </row>
    <row r="75" spans="1:15" ht="18.75">
      <c r="A75" s="23" t="s">
        <v>375</v>
      </c>
      <c r="B75" s="30">
        <v>12</v>
      </c>
      <c r="C75" s="23" t="s">
        <v>376</v>
      </c>
      <c r="D75" s="4"/>
      <c r="E75" s="4"/>
      <c r="F75" s="4"/>
      <c r="H75" s="31" t="s">
        <v>232</v>
      </c>
      <c r="I75" s="198">
        <f>J12*J16*PI()*(B88+B93)*B93/1000</f>
        <v>65.239959971069084</v>
      </c>
      <c r="J75" s="23" t="s">
        <v>124</v>
      </c>
      <c r="K75" s="249" t="s">
        <v>439</v>
      </c>
      <c r="L75" s="57"/>
    </row>
    <row r="76" spans="1:15" ht="18.75">
      <c r="A76" s="23" t="s">
        <v>222</v>
      </c>
      <c r="B76" s="199">
        <v>27.053999999999998</v>
      </c>
      <c r="C76" s="23" t="s">
        <v>124</v>
      </c>
      <c r="D76" s="4"/>
      <c r="E76" s="4"/>
      <c r="F76" s="4"/>
      <c r="H76" s="31" t="s">
        <v>393</v>
      </c>
      <c r="I76" s="57">
        <f>(B88+B93)/2</f>
        <v>0.26283791670955126</v>
      </c>
      <c r="J76" s="23" t="s">
        <v>78</v>
      </c>
      <c r="K76" s="249" t="s">
        <v>394</v>
      </c>
      <c r="L76" s="57"/>
    </row>
    <row r="77" spans="1:15" ht="18.75">
      <c r="A77" s="5" t="s">
        <v>225</v>
      </c>
      <c r="B77" s="21">
        <v>20</v>
      </c>
      <c r="C77" s="5" t="s">
        <v>226</v>
      </c>
      <c r="D77" s="4"/>
      <c r="E77" s="4"/>
      <c r="F77" s="4"/>
      <c r="H77" s="31" t="s">
        <v>395</v>
      </c>
      <c r="I77" s="57">
        <f>(B100/SQRT(3))-I76</f>
        <v>8.3572244804224205E-2</v>
      </c>
      <c r="J77" s="23" t="s">
        <v>78</v>
      </c>
      <c r="K77" s="249" t="s">
        <v>440</v>
      </c>
      <c r="L77" s="57"/>
    </row>
    <row r="78" spans="1:15" ht="18.75">
      <c r="A78" s="23" t="s">
        <v>231</v>
      </c>
      <c r="B78" s="199">
        <v>39.344000000000001</v>
      </c>
      <c r="C78" s="23" t="s">
        <v>124</v>
      </c>
      <c r="E78" s="4"/>
      <c r="F78" s="4"/>
      <c r="H78" s="31" t="s">
        <v>397</v>
      </c>
      <c r="I78" s="57">
        <f>3*B117*(0.5+I77/B74)</f>
        <v>38.734194386788197</v>
      </c>
      <c r="J78" s="23" t="s">
        <v>124</v>
      </c>
      <c r="K78" s="249" t="s">
        <v>441</v>
      </c>
      <c r="L78" s="57"/>
    </row>
    <row r="79" spans="1:15" ht="18.75">
      <c r="A79" s="5"/>
      <c r="B79" s="307"/>
      <c r="C79" s="5"/>
      <c r="D79" s="4"/>
      <c r="E79" s="4"/>
      <c r="F79" s="4"/>
      <c r="H79" s="31" t="s">
        <v>236</v>
      </c>
      <c r="I79" s="198">
        <f>IF(I78&lt;=3*B117,I78,3*B117)</f>
        <v>38.734194386788197</v>
      </c>
      <c r="J79" s="23" t="s">
        <v>124</v>
      </c>
      <c r="K79" s="301" t="s">
        <v>442</v>
      </c>
      <c r="L79" s="57"/>
    </row>
    <row r="80" spans="1:15" ht="18.75">
      <c r="A80" s="5" t="s">
        <v>227</v>
      </c>
      <c r="B80" s="242">
        <f>0.2*B76</f>
        <v>5.4108000000000001</v>
      </c>
      <c r="C80" s="5" t="s">
        <v>124</v>
      </c>
      <c r="D80" s="4"/>
      <c r="E80" s="4"/>
      <c r="F80" s="4"/>
      <c r="H80" s="31" t="s">
        <v>236</v>
      </c>
      <c r="I80" s="240" t="str">
        <f>IF(I79&lt;=I75,"&lt;","&gt;")</f>
        <v>&lt;</v>
      </c>
      <c r="J80" s="23" t="s">
        <v>232</v>
      </c>
      <c r="K80" s="241" t="str">
        <f>IF(I79&lt;=I75,"ผ่าน","ไม่ผ่าน")</f>
        <v>ผ่าน</v>
      </c>
      <c r="L80" s="4"/>
      <c r="M80" s="4"/>
    </row>
    <row r="81" spans="1:13" ht="18.75">
      <c r="A81" s="23" t="s">
        <v>228</v>
      </c>
      <c r="B81" s="251">
        <f>B76+B80</f>
        <v>32.464799999999997</v>
      </c>
      <c r="C81" s="5" t="s">
        <v>124</v>
      </c>
      <c r="D81" s="6" t="s">
        <v>229</v>
      </c>
      <c r="E81" s="4"/>
      <c r="F81" s="4"/>
      <c r="G81" s="4"/>
    </row>
    <row r="82" spans="1:13" ht="18.75">
      <c r="A82" s="23" t="s">
        <v>400</v>
      </c>
      <c r="B82" s="256">
        <f>B81/B75</f>
        <v>2.7053999999999996</v>
      </c>
      <c r="C82" s="23" t="s">
        <v>401</v>
      </c>
      <c r="F82" s="4"/>
      <c r="H82" s="19" t="s">
        <v>217</v>
      </c>
    </row>
    <row r="83" spans="1:13" ht="18.75">
      <c r="A83" s="23" t="s">
        <v>402</v>
      </c>
      <c r="B83" s="308">
        <v>3</v>
      </c>
      <c r="C83" s="23" t="s">
        <v>401</v>
      </c>
      <c r="F83" s="4"/>
      <c r="H83" s="31" t="s">
        <v>443</v>
      </c>
      <c r="I83" s="57">
        <f>B100+2*SQRT(3)*B91</f>
        <v>1.2928203230275508</v>
      </c>
      <c r="J83" s="23" t="s">
        <v>78</v>
      </c>
      <c r="K83" s="6" t="s">
        <v>444</v>
      </c>
      <c r="L83" s="4"/>
      <c r="M83" s="4"/>
    </row>
    <row r="84" spans="1:13" ht="18.75">
      <c r="A84" s="4"/>
      <c r="B84" s="4"/>
      <c r="C84" s="4"/>
      <c r="D84" s="4"/>
      <c r="E84" s="4"/>
      <c r="H84" s="31" t="s">
        <v>445</v>
      </c>
      <c r="I84" s="57">
        <f>(B100/SQRT(3))+2*B91-(B88/2)-B93</f>
        <v>0.33357224480422426</v>
      </c>
      <c r="J84" s="23" t="s">
        <v>78</v>
      </c>
      <c r="K84" s="6" t="s">
        <v>446</v>
      </c>
      <c r="L84" s="4"/>
      <c r="M84" s="4"/>
    </row>
    <row r="85" spans="1:13" ht="18.75">
      <c r="A85" s="23" t="s">
        <v>377</v>
      </c>
      <c r="B85" s="199">
        <v>7.4999999999999997E-2</v>
      </c>
      <c r="C85" s="23" t="s">
        <v>78</v>
      </c>
      <c r="D85" s="4"/>
      <c r="E85" s="4"/>
      <c r="H85" s="31" t="s">
        <v>447</v>
      </c>
      <c r="I85" s="57">
        <f>(3*B100/2/SQRT(3))+3*B91</f>
        <v>1.1196152422706631</v>
      </c>
      <c r="J85" s="23" t="s">
        <v>78</v>
      </c>
      <c r="K85" s="6" t="s">
        <v>448</v>
      </c>
      <c r="L85" s="4"/>
      <c r="M85" s="4"/>
    </row>
    <row r="86" spans="1:13" ht="18.75">
      <c r="A86" s="23" t="s">
        <v>449</v>
      </c>
      <c r="B86" s="298">
        <v>0.2</v>
      </c>
      <c r="C86" s="23" t="s">
        <v>78</v>
      </c>
      <c r="D86" s="4"/>
      <c r="E86" s="4"/>
      <c r="H86" s="31" t="s">
        <v>450</v>
      </c>
      <c r="I86" s="57">
        <f>I83*I84/I85</f>
        <v>0.38517605066381322</v>
      </c>
      <c r="J86" s="23" t="s">
        <v>78</v>
      </c>
      <c r="K86" s="6" t="s">
        <v>451</v>
      </c>
      <c r="L86" s="4"/>
    </row>
    <row r="87" spans="1:13" ht="18.75">
      <c r="A87" s="23" t="s">
        <v>452</v>
      </c>
      <c r="B87" s="298">
        <v>0.2</v>
      </c>
      <c r="C87" s="23" t="s">
        <v>78</v>
      </c>
      <c r="D87" s="4"/>
      <c r="E87" s="4"/>
      <c r="H87" s="31" t="s">
        <v>220</v>
      </c>
      <c r="I87" s="198">
        <f>J12*J14*I86*B93/1000</f>
        <v>8.0645650023034943</v>
      </c>
      <c r="J87" s="246" t="s">
        <v>124</v>
      </c>
      <c r="K87" s="247" t="s">
        <v>453</v>
      </c>
    </row>
    <row r="88" spans="1:13" ht="18.75">
      <c r="A88" s="23" t="s">
        <v>454</v>
      </c>
      <c r="B88" s="198">
        <f>2*SQRT(B86*B87/PI())</f>
        <v>0.22567583341910255</v>
      </c>
      <c r="C88" s="23" t="s">
        <v>78</v>
      </c>
      <c r="D88" s="6" t="s">
        <v>455</v>
      </c>
      <c r="E88" s="4"/>
      <c r="H88" s="31" t="s">
        <v>393</v>
      </c>
      <c r="I88" s="57">
        <f>(B88/2)+B93</f>
        <v>0.41283791670955128</v>
      </c>
      <c r="J88" s="23" t="s">
        <v>78</v>
      </c>
      <c r="K88" s="249" t="s">
        <v>403</v>
      </c>
    </row>
    <row r="89" spans="1:13" ht="18.75">
      <c r="A89" s="4"/>
      <c r="B89" s="4"/>
      <c r="C89" s="4"/>
      <c r="D89" s="4"/>
      <c r="E89" s="4"/>
      <c r="H89" s="31" t="s">
        <v>395</v>
      </c>
      <c r="I89" s="57">
        <f>(B100/SQRT(3))-I88</f>
        <v>-6.6427755195775817E-2</v>
      </c>
      <c r="J89" s="23" t="s">
        <v>78</v>
      </c>
      <c r="K89" s="249" t="s">
        <v>440</v>
      </c>
    </row>
    <row r="90" spans="1:13" ht="18.75">
      <c r="A90" s="23" t="s">
        <v>378</v>
      </c>
      <c r="B90" s="298">
        <v>0.2</v>
      </c>
      <c r="C90" s="23" t="s">
        <v>78</v>
      </c>
      <c r="D90" s="6" t="s">
        <v>379</v>
      </c>
      <c r="E90" s="4"/>
      <c r="H90" s="31" t="s">
        <v>404</v>
      </c>
      <c r="I90" s="57">
        <f>B117*(0.5+I89/B74)</f>
        <v>1.753452216990161</v>
      </c>
      <c r="J90" s="23" t="s">
        <v>124</v>
      </c>
      <c r="K90" s="249" t="s">
        <v>405</v>
      </c>
    </row>
    <row r="91" spans="1:13" ht="18.75">
      <c r="A91" s="23" t="s">
        <v>456</v>
      </c>
      <c r="B91" s="304">
        <f>B90</f>
        <v>0.2</v>
      </c>
      <c r="C91" s="23" t="s">
        <v>78</v>
      </c>
      <c r="D91" s="23" t="s">
        <v>411</v>
      </c>
      <c r="E91" s="4"/>
      <c r="H91" s="31" t="s">
        <v>223</v>
      </c>
      <c r="I91" s="198">
        <f>IF(I90&gt;0,I90,0)</f>
        <v>1.753452216990161</v>
      </c>
      <c r="J91" s="23" t="s">
        <v>124</v>
      </c>
      <c r="K91" s="23" t="s">
        <v>406</v>
      </c>
      <c r="M91" s="4"/>
    </row>
    <row r="92" spans="1:13" ht="18.75">
      <c r="A92" s="23"/>
      <c r="B92" s="33"/>
      <c r="C92" s="23"/>
      <c r="D92" s="6"/>
      <c r="E92" s="4"/>
      <c r="H92" s="31" t="s">
        <v>223</v>
      </c>
      <c r="I92" s="310" t="str">
        <f>IF(I91&lt;=I87,"&lt;","&gt;")</f>
        <v>&lt;</v>
      </c>
      <c r="J92" s="246" t="s">
        <v>220</v>
      </c>
      <c r="K92" s="241" t="str">
        <f>IF(I91&lt;=I87,"ผ่าน","ไม่ผ่าน")</f>
        <v>ผ่าน</v>
      </c>
      <c r="M92" s="7"/>
    </row>
    <row r="93" spans="1:13" ht="18.75">
      <c r="A93" s="23" t="s">
        <v>420</v>
      </c>
      <c r="B93" s="298">
        <v>0.3</v>
      </c>
      <c r="C93" s="23" t="s">
        <v>78</v>
      </c>
      <c r="D93" s="6" t="s">
        <v>421</v>
      </c>
      <c r="E93" s="4"/>
      <c r="M93" s="250"/>
    </row>
    <row r="94" spans="1:13" ht="18.75">
      <c r="A94" s="19" t="s">
        <v>380</v>
      </c>
      <c r="B94" s="313">
        <f>B93+B85</f>
        <v>0.375</v>
      </c>
      <c r="C94" s="23" t="s">
        <v>78</v>
      </c>
      <c r="D94" s="23" t="s">
        <v>303</v>
      </c>
      <c r="E94" s="4"/>
      <c r="H94" s="19" t="s">
        <v>241</v>
      </c>
    </row>
    <row r="95" spans="1:13" ht="18.75">
      <c r="A95" s="23"/>
      <c r="B95" s="4"/>
      <c r="C95" s="23"/>
      <c r="D95" s="4"/>
      <c r="E95" s="4"/>
      <c r="H95" s="31" t="s">
        <v>443</v>
      </c>
      <c r="I95" s="57">
        <f>B100+2*SQRT(3)*B91</f>
        <v>1.2928203230275508</v>
      </c>
      <c r="J95" s="23" t="s">
        <v>78</v>
      </c>
      <c r="K95" s="6" t="s">
        <v>444</v>
      </c>
      <c r="L95" s="4"/>
      <c r="M95" s="4"/>
    </row>
    <row r="96" spans="1:13" ht="18.75">
      <c r="A96" s="23" t="s">
        <v>457</v>
      </c>
      <c r="B96" s="32">
        <f>3*B90</f>
        <v>0.60000000000000009</v>
      </c>
      <c r="C96" s="23" t="s">
        <v>78</v>
      </c>
      <c r="D96" s="6" t="s">
        <v>408</v>
      </c>
      <c r="E96" s="4"/>
      <c r="H96" s="31" t="s">
        <v>445</v>
      </c>
      <c r="I96" s="57">
        <f>(B100/SQRT(3))+2*B91-(B88/2)</f>
        <v>0.63357224480422425</v>
      </c>
      <c r="J96" s="23" t="s">
        <v>78</v>
      </c>
      <c r="K96" s="6" t="s">
        <v>458</v>
      </c>
      <c r="L96" s="4"/>
      <c r="M96" s="4"/>
    </row>
    <row r="97" spans="1:13" ht="18.75">
      <c r="A97" s="23" t="s">
        <v>459</v>
      </c>
      <c r="B97" s="57">
        <f>(B88+B93)/2</f>
        <v>0.26283791670955126</v>
      </c>
      <c r="C97" s="23" t="s">
        <v>78</v>
      </c>
      <c r="D97" s="6" t="s">
        <v>394</v>
      </c>
      <c r="E97" s="4"/>
      <c r="H97" s="31" t="s">
        <v>447</v>
      </c>
      <c r="I97" s="57">
        <f>(SQRT(3)*B100/2)+3*B91</f>
        <v>1.1196152422706631</v>
      </c>
      <c r="J97" s="23" t="s">
        <v>78</v>
      </c>
      <c r="K97" s="6" t="s">
        <v>460</v>
      </c>
      <c r="L97" s="4"/>
      <c r="M97" s="4"/>
    </row>
    <row r="98" spans="1:13" ht="18.75">
      <c r="A98" s="23" t="s">
        <v>461</v>
      </c>
      <c r="B98" s="32">
        <f>(B96/2/SQRT(3))+B91-B97</f>
        <v>0.11036716404733649</v>
      </c>
      <c r="C98" s="23" t="s">
        <v>78</v>
      </c>
      <c r="D98" s="6" t="s">
        <v>462</v>
      </c>
      <c r="E98" s="4"/>
      <c r="H98" s="31" t="s">
        <v>463</v>
      </c>
      <c r="I98" s="57">
        <f>I95*I96/I97</f>
        <v>0.73158621217758868</v>
      </c>
      <c r="J98" s="23" t="s">
        <v>78</v>
      </c>
      <c r="K98" s="6" t="s">
        <v>451</v>
      </c>
      <c r="L98" s="4"/>
      <c r="M98" s="4"/>
    </row>
    <row r="99" spans="1:13" ht="18.75">
      <c r="A99" s="23" t="s">
        <v>407</v>
      </c>
      <c r="B99" s="57">
        <f>IF(B98&gt;=B85,B96,2*SQRT(3)*(B97+B85-B91))</f>
        <v>0.60000000000000009</v>
      </c>
      <c r="C99" s="23" t="s">
        <v>78</v>
      </c>
      <c r="D99" s="6" t="s">
        <v>464</v>
      </c>
      <c r="E99" s="4"/>
      <c r="H99" s="31" t="s">
        <v>122</v>
      </c>
      <c r="I99" s="198">
        <f>J11*J10*I98*(B93*100)^2/1000</f>
        <v>32.391659119167635</v>
      </c>
      <c r="J99" s="23" t="s">
        <v>121</v>
      </c>
      <c r="K99" s="249" t="s">
        <v>465</v>
      </c>
      <c r="M99" s="57"/>
    </row>
    <row r="100" spans="1:13" ht="18.75">
      <c r="A100" s="23" t="s">
        <v>466</v>
      </c>
      <c r="B100" s="313">
        <v>0.6</v>
      </c>
      <c r="C100" s="23" t="s">
        <v>78</v>
      </c>
      <c r="D100" s="315" t="s">
        <v>467</v>
      </c>
      <c r="E100" s="4"/>
      <c r="H100" s="31" t="s">
        <v>99</v>
      </c>
      <c r="I100" s="198">
        <f>B117*((B100/SQRT(3))-(B88/2))</f>
        <v>3.1274237688669166</v>
      </c>
      <c r="J100" s="23" t="s">
        <v>121</v>
      </c>
      <c r="K100" s="6" t="s">
        <v>468</v>
      </c>
      <c r="M100" s="57"/>
    </row>
    <row r="101" spans="1:13" ht="18.75">
      <c r="A101" s="4"/>
      <c r="B101" s="4"/>
      <c r="C101" s="4"/>
      <c r="D101" s="4"/>
      <c r="E101" s="4"/>
      <c r="H101" s="31" t="s">
        <v>99</v>
      </c>
      <c r="I101" s="240" t="str">
        <f>IF(I100&lt;=I99,"&lt;","&gt;")</f>
        <v>&lt;</v>
      </c>
      <c r="J101" s="246" t="s">
        <v>122</v>
      </c>
      <c r="K101" s="241" t="str">
        <f>IF(I100&lt;=I99,"ผ่าน","ไม่ผ่าน")</f>
        <v>ผ่าน</v>
      </c>
      <c r="L101" s="57"/>
      <c r="M101" s="57"/>
    </row>
    <row r="102" spans="1:13" ht="18.75">
      <c r="A102" s="19" t="s">
        <v>252</v>
      </c>
      <c r="L102" s="93"/>
      <c r="M102" s="93"/>
    </row>
    <row r="103" spans="1:13" ht="18.75">
      <c r="A103" s="23" t="s">
        <v>254</v>
      </c>
      <c r="B103" s="23">
        <v>30</v>
      </c>
      <c r="C103" s="23" t="s">
        <v>62</v>
      </c>
      <c r="D103" s="6" t="s">
        <v>255</v>
      </c>
      <c r="H103" s="17" t="s">
        <v>251</v>
      </c>
      <c r="I103" s="4"/>
      <c r="J103" s="4"/>
      <c r="K103" s="4"/>
      <c r="L103" s="57"/>
      <c r="M103" s="57"/>
    </row>
    <row r="104" spans="1:13" ht="18.75">
      <c r="A104" s="23" t="s">
        <v>257</v>
      </c>
      <c r="B104" s="30">
        <v>12</v>
      </c>
      <c r="C104" s="23" t="s">
        <v>47</v>
      </c>
      <c r="H104" s="311" t="s">
        <v>416</v>
      </c>
    </row>
    <row r="105" spans="1:13" ht="18.75">
      <c r="A105" s="31" t="s">
        <v>261</v>
      </c>
      <c r="B105" s="57">
        <f>PI()*(B104/10)^2/4</f>
        <v>1.1309733552923256</v>
      </c>
      <c r="C105" s="23" t="s">
        <v>259</v>
      </c>
      <c r="H105" s="31" t="s">
        <v>100</v>
      </c>
      <c r="I105" s="32">
        <f>I100*1000/J11/I98/(B93*100)^2</f>
        <v>5.2775967265822255</v>
      </c>
      <c r="J105" s="193" t="s">
        <v>12</v>
      </c>
      <c r="K105" s="23" t="s">
        <v>469</v>
      </c>
      <c r="L105" s="4"/>
    </row>
    <row r="106" spans="1:13" ht="18.75">
      <c r="A106" s="23" t="s">
        <v>417</v>
      </c>
      <c r="B106" s="256">
        <f>IF($J$4*(B104/10)/13.3/SQRT($J$3)&gt;30,$J$4*(B104/10)/13.3/SQRT($J$3),30)</f>
        <v>30</v>
      </c>
      <c r="C106" s="23" t="s">
        <v>62</v>
      </c>
      <c r="D106" s="6" t="s">
        <v>265</v>
      </c>
      <c r="G106" s="4"/>
      <c r="H106" s="31" t="s">
        <v>102</v>
      </c>
      <c r="I106" s="37">
        <f>(J6/J4)*(1-SQRT(1-2*I105/J6))</f>
        <v>1.7825631091406612E-3</v>
      </c>
      <c r="J106" s="214"/>
      <c r="K106" s="23" t="s">
        <v>256</v>
      </c>
      <c r="L106" s="4"/>
    </row>
    <row r="107" spans="1:13" ht="18.75">
      <c r="A107" s="23" t="s">
        <v>268</v>
      </c>
      <c r="B107" s="256">
        <f>((B100/SQRT(3))+B91-(B88/2)-B85)*100</f>
        <v>35.857224480422424</v>
      </c>
      <c r="C107" s="23" t="s">
        <v>62</v>
      </c>
      <c r="D107" s="6" t="s">
        <v>470</v>
      </c>
      <c r="G107" s="4"/>
      <c r="H107" s="31" t="s">
        <v>258</v>
      </c>
      <c r="I107" s="57">
        <f>I106*I98*B93*10000</f>
        <v>3.9122957789511656</v>
      </c>
      <c r="J107" s="193" t="s">
        <v>259</v>
      </c>
      <c r="K107" s="23" t="s">
        <v>471</v>
      </c>
      <c r="L107" s="4"/>
    </row>
    <row r="108" spans="1:13" ht="18.75">
      <c r="A108" s="31" t="s">
        <v>270</v>
      </c>
      <c r="B108" s="240" t="str">
        <f>IF(B107&gt;=B106,"&gt;","&lt;")</f>
        <v>&gt;</v>
      </c>
      <c r="C108" s="23" t="s">
        <v>271</v>
      </c>
      <c r="D108" s="241" t="str">
        <f>IF(B106&lt;=B107,"ผ่าน","ไม่ผ่าน")</f>
        <v>ผ่าน</v>
      </c>
      <c r="E108" s="23" t="s">
        <v>272</v>
      </c>
      <c r="H108" s="31" t="s">
        <v>262</v>
      </c>
      <c r="I108" s="57">
        <f>J9*I98*B94*10000</f>
        <v>5.4868965913319148</v>
      </c>
      <c r="J108" s="255" t="s">
        <v>259</v>
      </c>
      <c r="K108" s="23" t="s">
        <v>472</v>
      </c>
    </row>
    <row r="109" spans="1:13" ht="18.75">
      <c r="A109" s="4"/>
      <c r="B109" s="4"/>
      <c r="C109" s="4"/>
      <c r="D109" s="4"/>
      <c r="E109" s="4"/>
      <c r="H109" s="31" t="s">
        <v>266</v>
      </c>
      <c r="I109" s="57">
        <f>IF(I107&gt;=I108,I107,I108)</f>
        <v>5.4868965913319148</v>
      </c>
      <c r="J109" s="23" t="s">
        <v>259</v>
      </c>
      <c r="K109" s="23" t="s">
        <v>267</v>
      </c>
      <c r="L109" s="4"/>
      <c r="M109" s="4"/>
    </row>
    <row r="110" spans="1:13" ht="18.75">
      <c r="A110" s="19" t="s">
        <v>193</v>
      </c>
      <c r="E110" s="4"/>
      <c r="H110" s="31" t="s">
        <v>422</v>
      </c>
      <c r="I110" s="312">
        <f>I109/B105</f>
        <v>4.8514817485808077</v>
      </c>
      <c r="J110" s="23" t="s">
        <v>389</v>
      </c>
      <c r="K110" s="23" t="s">
        <v>423</v>
      </c>
    </row>
    <row r="111" spans="1:13" ht="18.75">
      <c r="A111" s="23" t="s">
        <v>473</v>
      </c>
      <c r="B111" s="289">
        <f>0.5*(B100+2*SQRT(3)*B91)*(0.5*SQRT(3)*B100+3*B91)-SQRT(3)*B91^2</f>
        <v>0.65444863728670899</v>
      </c>
      <c r="C111" s="23" t="s">
        <v>474</v>
      </c>
      <c r="D111" s="23" t="s">
        <v>475</v>
      </c>
      <c r="E111" s="4"/>
      <c r="H111" s="31" t="s">
        <v>424</v>
      </c>
      <c r="I111" s="308">
        <v>5</v>
      </c>
      <c r="J111" s="23" t="s">
        <v>425</v>
      </c>
      <c r="K111" s="4"/>
    </row>
    <row r="112" spans="1:13" ht="18.75">
      <c r="A112" s="23" t="s">
        <v>195</v>
      </c>
      <c r="B112" s="289">
        <f>2.4*B111*B94</f>
        <v>0.58900377355803801</v>
      </c>
      <c r="C112" s="5" t="s">
        <v>124</v>
      </c>
      <c r="D112" s="6" t="s">
        <v>476</v>
      </c>
      <c r="E112" s="4"/>
      <c r="H112" s="31" t="s">
        <v>277</v>
      </c>
      <c r="I112" s="57">
        <f>(I98-2*B85)/(I111-1)</f>
        <v>0.14539655304439716</v>
      </c>
      <c r="J112" s="23" t="s">
        <v>78</v>
      </c>
      <c r="K112" s="23" t="s">
        <v>477</v>
      </c>
      <c r="M112" s="6" t="s">
        <v>278</v>
      </c>
    </row>
    <row r="113" spans="1:14" ht="18.75">
      <c r="A113" s="23" t="s">
        <v>197</v>
      </c>
      <c r="B113" s="198">
        <f>B76+B112</f>
        <v>27.643003773558036</v>
      </c>
      <c r="C113" s="5" t="s">
        <v>124</v>
      </c>
      <c r="D113" s="6" t="s">
        <v>198</v>
      </c>
    </row>
    <row r="114" spans="1:14" ht="18.75">
      <c r="A114" s="314" t="s">
        <v>478</v>
      </c>
      <c r="B114" s="198">
        <f>B75*B83</f>
        <v>36</v>
      </c>
      <c r="C114" s="23" t="s">
        <v>124</v>
      </c>
      <c r="D114" s="19" t="str">
        <f>IF(B113&lt;=B114,"P &lt; 3Pa ผ่าน")</f>
        <v>P &lt; 3Pa ผ่าน</v>
      </c>
    </row>
    <row r="115" spans="1:14" ht="18.75">
      <c r="A115" s="23" t="s">
        <v>199</v>
      </c>
      <c r="B115" s="57">
        <f>1.4*B112</f>
        <v>0.82460528298125313</v>
      </c>
      <c r="C115" s="23" t="s">
        <v>124</v>
      </c>
      <c r="D115" s="23" t="s">
        <v>200</v>
      </c>
    </row>
    <row r="116" spans="1:14" ht="18.75">
      <c r="A116" s="23" t="s">
        <v>201</v>
      </c>
      <c r="B116" s="198">
        <f>B78+B115</f>
        <v>40.168605282981254</v>
      </c>
      <c r="C116" s="23" t="s">
        <v>124</v>
      </c>
      <c r="D116" s="6" t="s">
        <v>202</v>
      </c>
    </row>
    <row r="117" spans="1:14" ht="18.75">
      <c r="A117" s="23" t="s">
        <v>436</v>
      </c>
      <c r="B117" s="198">
        <f>B116/B83</f>
        <v>13.389535094327085</v>
      </c>
      <c r="C117" s="23" t="s">
        <v>376</v>
      </c>
      <c r="D117" s="23" t="s">
        <v>479</v>
      </c>
    </row>
    <row r="118" spans="1:14" ht="18.75">
      <c r="A118" s="4"/>
      <c r="B118" s="4"/>
      <c r="C118" s="4"/>
      <c r="D118" s="4"/>
      <c r="E118" s="4"/>
    </row>
    <row r="119" spans="1:14" ht="18.75">
      <c r="A119" s="4"/>
      <c r="B119" s="4"/>
      <c r="C119" s="4"/>
      <c r="D119" s="4"/>
      <c r="E119" s="4"/>
    </row>
    <row r="120" spans="1:14" ht="18.75">
      <c r="A120" s="295" t="s">
        <v>480</v>
      </c>
      <c r="B120" s="4"/>
      <c r="C120" s="4"/>
      <c r="D120" s="4"/>
      <c r="E120" s="4"/>
      <c r="F120" s="4"/>
    </row>
    <row r="121" spans="1:14" ht="18.75">
      <c r="A121" s="23" t="s">
        <v>392</v>
      </c>
      <c r="B121" s="298">
        <v>0.18</v>
      </c>
      <c r="C121" s="23" t="s">
        <v>78</v>
      </c>
      <c r="D121" s="4"/>
      <c r="E121" s="4"/>
      <c r="F121" s="4"/>
      <c r="H121" s="19" t="s">
        <v>230</v>
      </c>
      <c r="I121" s="4"/>
      <c r="J121" s="4"/>
      <c r="K121" s="4"/>
      <c r="L121" s="4"/>
      <c r="M121" s="4"/>
      <c r="N121" s="4"/>
    </row>
    <row r="122" spans="1:14" ht="18.75">
      <c r="A122" s="23" t="s">
        <v>375</v>
      </c>
      <c r="B122" s="30">
        <v>12</v>
      </c>
      <c r="C122" s="23" t="s">
        <v>376</v>
      </c>
      <c r="D122" s="4"/>
      <c r="E122" s="4"/>
      <c r="F122" s="4"/>
      <c r="H122" s="31" t="s">
        <v>232</v>
      </c>
      <c r="I122" s="198">
        <f>J12*J16*(4*B149^2+4*B133*B149)/1000</f>
        <v>79.008860262631302</v>
      </c>
      <c r="J122" s="23" t="s">
        <v>124</v>
      </c>
      <c r="K122" s="249" t="s">
        <v>233</v>
      </c>
      <c r="L122" s="57"/>
      <c r="N122" s="4"/>
    </row>
    <row r="123" spans="1:14" ht="18.75">
      <c r="A123" s="23" t="s">
        <v>222</v>
      </c>
      <c r="B123" s="199">
        <v>31.957000000000001</v>
      </c>
      <c r="C123" s="23" t="s">
        <v>124</v>
      </c>
      <c r="D123" s="4"/>
      <c r="E123" s="4"/>
      <c r="F123" s="4"/>
      <c r="H123" s="31" t="s">
        <v>393</v>
      </c>
      <c r="I123" s="57">
        <f>(B133+B149)/2</f>
        <v>0.25</v>
      </c>
      <c r="J123" s="23" t="s">
        <v>78</v>
      </c>
      <c r="K123" s="249" t="s">
        <v>394</v>
      </c>
      <c r="L123" s="57"/>
      <c r="N123" s="4"/>
    </row>
    <row r="124" spans="1:14" ht="18.75">
      <c r="A124" s="5" t="s">
        <v>225</v>
      </c>
      <c r="B124" s="21">
        <v>20</v>
      </c>
      <c r="C124" s="5" t="s">
        <v>226</v>
      </c>
      <c r="D124" s="4"/>
      <c r="E124" s="4"/>
      <c r="F124" s="4"/>
      <c r="H124" s="31" t="s">
        <v>395</v>
      </c>
      <c r="I124" s="57">
        <f>(B136/2)-I123</f>
        <v>4.9999999999999989E-2</v>
      </c>
      <c r="J124" s="23" t="s">
        <v>78</v>
      </c>
      <c r="K124" s="249" t="s">
        <v>396</v>
      </c>
      <c r="L124" s="57"/>
      <c r="N124" s="4"/>
    </row>
    <row r="125" spans="1:14" ht="18.75">
      <c r="A125" s="23" t="s">
        <v>231</v>
      </c>
      <c r="B125" s="199">
        <v>46.976999999999997</v>
      </c>
      <c r="C125" s="23" t="s">
        <v>124</v>
      </c>
      <c r="E125" s="4"/>
      <c r="F125" s="4"/>
      <c r="H125" s="31" t="s">
        <v>397</v>
      </c>
      <c r="I125" s="57">
        <f>B130*B158*(0.5+I124/B121)</f>
        <v>37.517666666666656</v>
      </c>
      <c r="J125" s="23" t="s">
        <v>124</v>
      </c>
      <c r="K125" s="249" t="s">
        <v>481</v>
      </c>
      <c r="L125" s="57"/>
      <c r="N125" s="4"/>
    </row>
    <row r="126" spans="1:14" ht="18.75">
      <c r="A126" s="5"/>
      <c r="B126" s="307"/>
      <c r="C126" s="5"/>
      <c r="D126" s="4"/>
      <c r="E126" s="4"/>
      <c r="F126" s="4"/>
      <c r="H126" s="31" t="s">
        <v>236</v>
      </c>
      <c r="I126" s="198">
        <f>IF(I125&lt;=B130*B158,I125,4*B158)</f>
        <v>37.517666666666656</v>
      </c>
      <c r="J126" s="23" t="s">
        <v>124</v>
      </c>
      <c r="K126" s="301" t="s">
        <v>482</v>
      </c>
      <c r="L126" s="57"/>
      <c r="N126" s="4"/>
    </row>
    <row r="127" spans="1:14" ht="18.75">
      <c r="A127" s="5" t="s">
        <v>227</v>
      </c>
      <c r="B127" s="242">
        <f>0.2*B123</f>
        <v>6.3914000000000009</v>
      </c>
      <c r="C127" s="5" t="s">
        <v>124</v>
      </c>
      <c r="D127" s="4"/>
      <c r="E127" s="4"/>
      <c r="F127" s="4"/>
      <c r="H127" s="31" t="s">
        <v>236</v>
      </c>
      <c r="I127" s="240" t="str">
        <f>IF(I126&lt;=I122,"&lt;","&gt;")</f>
        <v>&lt;</v>
      </c>
      <c r="J127" s="23" t="s">
        <v>232</v>
      </c>
      <c r="K127" s="241" t="str">
        <f>IF(I126&lt;=I122,"ผ่าน","ไม่ผ่าน")</f>
        <v>ผ่าน</v>
      </c>
      <c r="L127" s="4"/>
      <c r="M127" s="4"/>
      <c r="N127" s="4"/>
    </row>
    <row r="128" spans="1:14" ht="18.75">
      <c r="A128" s="23" t="s">
        <v>228</v>
      </c>
      <c r="B128" s="251">
        <f>B123+B127</f>
        <v>38.348399999999998</v>
      </c>
      <c r="C128" s="5" t="s">
        <v>124</v>
      </c>
      <c r="D128" s="6" t="s">
        <v>229</v>
      </c>
      <c r="E128" s="4"/>
      <c r="F128" s="4"/>
      <c r="G128" s="4"/>
      <c r="H128" s="4"/>
      <c r="N128" s="4"/>
    </row>
    <row r="129" spans="1:14" ht="18.75">
      <c r="A129" s="23" t="s">
        <v>400</v>
      </c>
      <c r="B129" s="256">
        <f>B128/B122</f>
        <v>3.1957</v>
      </c>
      <c r="C129" s="23" t="s">
        <v>401</v>
      </c>
      <c r="F129" s="4"/>
      <c r="H129" s="19" t="s">
        <v>217</v>
      </c>
      <c r="K129" s="4"/>
      <c r="L129" s="4"/>
      <c r="M129" s="4"/>
      <c r="N129" s="4"/>
    </row>
    <row r="130" spans="1:14" ht="18.75">
      <c r="A130" s="23" t="s">
        <v>402</v>
      </c>
      <c r="B130" s="308">
        <v>4</v>
      </c>
      <c r="C130" s="23" t="s">
        <v>401</v>
      </c>
      <c r="F130" s="4"/>
      <c r="H130" s="31" t="s">
        <v>220</v>
      </c>
      <c r="I130" s="198">
        <f>J12*J14*B139*B149/1000</f>
        <v>20.937347969597297</v>
      </c>
      <c r="J130" s="246" t="s">
        <v>124</v>
      </c>
      <c r="K130" s="247" t="s">
        <v>483</v>
      </c>
      <c r="M130" s="7"/>
      <c r="N130" s="4"/>
    </row>
    <row r="131" spans="1:14" ht="18.75">
      <c r="A131" s="4"/>
      <c r="B131" s="4"/>
      <c r="C131" s="4"/>
      <c r="D131" s="4"/>
      <c r="E131" s="4"/>
      <c r="F131" s="4"/>
      <c r="H131" s="31" t="s">
        <v>393</v>
      </c>
      <c r="I131" s="57">
        <f>B133/2+B149</f>
        <v>0.4</v>
      </c>
      <c r="J131" s="23" t="s">
        <v>78</v>
      </c>
      <c r="K131" s="249" t="s">
        <v>403</v>
      </c>
      <c r="M131" s="250"/>
      <c r="N131" s="57"/>
    </row>
    <row r="132" spans="1:14" ht="18.75">
      <c r="A132" s="23" t="s">
        <v>377</v>
      </c>
      <c r="B132" s="199">
        <v>7.4999999999999997E-2</v>
      </c>
      <c r="C132" s="23" t="s">
        <v>78</v>
      </c>
      <c r="D132" s="4"/>
      <c r="E132" s="4"/>
      <c r="F132" s="4"/>
      <c r="H132" s="31" t="s">
        <v>395</v>
      </c>
      <c r="I132" s="57">
        <f>B136/2-I131</f>
        <v>-0.10000000000000003</v>
      </c>
      <c r="J132" s="23" t="s">
        <v>78</v>
      </c>
      <c r="K132" s="249" t="s">
        <v>396</v>
      </c>
      <c r="M132" s="214"/>
      <c r="N132" s="57"/>
    </row>
    <row r="133" spans="1:14" ht="18.75">
      <c r="A133" s="23" t="s">
        <v>218</v>
      </c>
      <c r="B133" s="298">
        <v>0.2</v>
      </c>
      <c r="C133" s="23" t="s">
        <v>78</v>
      </c>
      <c r="D133" s="6"/>
      <c r="E133" s="4"/>
      <c r="F133" s="4"/>
      <c r="H133" s="31" t="s">
        <v>404</v>
      </c>
      <c r="I133" s="57">
        <f>2*B158*(0.5+I132/B121)</f>
        <v>-1.3399166666666724</v>
      </c>
      <c r="J133" s="23" t="s">
        <v>124</v>
      </c>
      <c r="K133" s="249" t="s">
        <v>398</v>
      </c>
      <c r="N133" s="57"/>
    </row>
    <row r="134" spans="1:14" ht="18.75">
      <c r="A134" s="23" t="s">
        <v>378</v>
      </c>
      <c r="B134" s="298">
        <v>0.2</v>
      </c>
      <c r="C134" s="23" t="s">
        <v>78</v>
      </c>
      <c r="D134" s="6" t="s">
        <v>379</v>
      </c>
      <c r="E134" s="4"/>
      <c r="F134" s="4"/>
      <c r="H134" s="31" t="s">
        <v>223</v>
      </c>
      <c r="I134" s="198">
        <f>IF(I133&gt;0,I133,0)</f>
        <v>0</v>
      </c>
      <c r="J134" s="23" t="s">
        <v>124</v>
      </c>
      <c r="K134" s="23" t="s">
        <v>406</v>
      </c>
      <c r="N134" s="57"/>
    </row>
    <row r="135" spans="1:14" ht="18.75">
      <c r="A135" s="23" t="s">
        <v>407</v>
      </c>
      <c r="B135" s="309">
        <f>3*B134</f>
        <v>0.60000000000000009</v>
      </c>
      <c r="C135" s="23" t="s">
        <v>78</v>
      </c>
      <c r="D135" s="6" t="s">
        <v>408</v>
      </c>
      <c r="E135" s="4"/>
      <c r="F135" s="4"/>
      <c r="H135" s="31" t="s">
        <v>223</v>
      </c>
      <c r="I135" s="310" t="str">
        <f>IF(I134&lt;=I130,"&lt;","&gt;")</f>
        <v>&lt;</v>
      </c>
      <c r="J135" s="246" t="s">
        <v>220</v>
      </c>
      <c r="K135" s="241" t="str">
        <f>IF(I134&lt;=I130,"ผ่าน","ไม่ผ่าน")</f>
        <v>ผ่าน</v>
      </c>
      <c r="N135" s="57"/>
    </row>
    <row r="136" spans="1:14" ht="18.75">
      <c r="A136" s="23" t="s">
        <v>409</v>
      </c>
      <c r="B136" s="298">
        <v>0.6</v>
      </c>
      <c r="C136" s="301" t="s">
        <v>78</v>
      </c>
      <c r="L136" s="214"/>
      <c r="N136" s="4"/>
    </row>
    <row r="137" spans="1:14" ht="18.75">
      <c r="A137" s="23" t="s">
        <v>410</v>
      </c>
      <c r="B137" s="309">
        <f>B134</f>
        <v>0.2</v>
      </c>
      <c r="C137" s="23" t="s">
        <v>78</v>
      </c>
      <c r="D137" s="23" t="s">
        <v>411</v>
      </c>
      <c r="H137" s="19" t="s">
        <v>241</v>
      </c>
    </row>
    <row r="138" spans="1:14" ht="18.75">
      <c r="A138" s="23" t="s">
        <v>412</v>
      </c>
      <c r="B138" s="298">
        <v>0.2</v>
      </c>
      <c r="C138" s="23" t="s">
        <v>78</v>
      </c>
      <c r="E138" s="4"/>
      <c r="F138" s="4"/>
      <c r="G138" s="4"/>
      <c r="H138" s="31" t="s">
        <v>122</v>
      </c>
      <c r="I138" s="198">
        <f>J11*J10*B139*(B149*100)^2/1000</f>
        <v>44.275928906249987</v>
      </c>
      <c r="J138" s="23" t="s">
        <v>121</v>
      </c>
      <c r="K138" s="249" t="s">
        <v>484</v>
      </c>
      <c r="M138" s="57"/>
    </row>
    <row r="139" spans="1:14" ht="18.75">
      <c r="A139" s="19" t="s">
        <v>413</v>
      </c>
      <c r="B139" s="309">
        <f>B136+2*B138</f>
        <v>1</v>
      </c>
      <c r="C139" s="23" t="s">
        <v>78</v>
      </c>
      <c r="D139" s="6" t="s">
        <v>414</v>
      </c>
      <c r="E139" s="4"/>
      <c r="F139" s="4"/>
      <c r="G139" s="4"/>
      <c r="H139" s="31" t="s">
        <v>99</v>
      </c>
      <c r="I139" s="198">
        <f>2*B158*1000*(B136-B133)/2/1000</f>
        <v>4.8236999999999988</v>
      </c>
      <c r="J139" s="23" t="s">
        <v>121</v>
      </c>
      <c r="K139" s="6" t="s">
        <v>485</v>
      </c>
      <c r="M139" s="57"/>
    </row>
    <row r="140" spans="1:14" ht="18.75">
      <c r="A140" s="23"/>
      <c r="B140" s="33"/>
      <c r="C140" s="23"/>
      <c r="D140" s="6"/>
      <c r="E140" s="4"/>
      <c r="F140" s="4"/>
      <c r="G140" s="4"/>
      <c r="H140" s="31" t="s">
        <v>99</v>
      </c>
      <c r="I140" s="240" t="str">
        <f>IF(I139&lt;=I138,"&lt;","&gt;")</f>
        <v>&lt;</v>
      </c>
      <c r="J140" s="246" t="s">
        <v>122</v>
      </c>
      <c r="K140" s="241" t="str">
        <f>IF(I139&lt;=I138,"ผ่าน","ไม่ผ่าน")</f>
        <v>ผ่าน</v>
      </c>
      <c r="L140" s="57"/>
      <c r="M140" s="57"/>
    </row>
    <row r="141" spans="1:14" ht="18.75">
      <c r="A141" s="19" t="s">
        <v>252</v>
      </c>
      <c r="L141" s="93"/>
      <c r="M141" s="93"/>
    </row>
    <row r="142" spans="1:14" ht="18.75">
      <c r="A142" s="23" t="s">
        <v>254</v>
      </c>
      <c r="B142" s="23">
        <v>30</v>
      </c>
      <c r="C142" s="23" t="s">
        <v>62</v>
      </c>
      <c r="D142" s="6" t="s">
        <v>255</v>
      </c>
      <c r="H142" s="17" t="s">
        <v>251</v>
      </c>
      <c r="I142" s="4"/>
      <c r="J142" s="4"/>
      <c r="K142" s="4"/>
      <c r="L142" s="57"/>
      <c r="M142" s="57"/>
    </row>
    <row r="143" spans="1:14" ht="18.75">
      <c r="A143" s="23" t="s">
        <v>257</v>
      </c>
      <c r="B143" s="30">
        <v>12</v>
      </c>
      <c r="C143" s="23" t="s">
        <v>47</v>
      </c>
      <c r="H143" s="311" t="s">
        <v>416</v>
      </c>
    </row>
    <row r="144" spans="1:14" ht="18.75">
      <c r="A144" s="31" t="s">
        <v>261</v>
      </c>
      <c r="B144" s="57">
        <f>PI()*(B143/10)^2/4</f>
        <v>1.1309733552923256</v>
      </c>
      <c r="C144" s="23" t="s">
        <v>259</v>
      </c>
      <c r="H144" s="31" t="s">
        <v>100</v>
      </c>
      <c r="I144" s="32">
        <f>I139*1000/J11/B139/(B149*100)^2</f>
        <v>5.9551851851851838</v>
      </c>
      <c r="J144" s="193" t="s">
        <v>12</v>
      </c>
      <c r="K144" s="23" t="s">
        <v>486</v>
      </c>
      <c r="L144" s="4"/>
    </row>
    <row r="145" spans="1:14" ht="18.75">
      <c r="A145" s="23" t="s">
        <v>417</v>
      </c>
      <c r="B145" s="256">
        <f>IF($J$4*(B143/10)/13.3/SQRT($J$3)&gt;30,$J$4*(B143/10)/13.3/SQRT($J$3),30)</f>
        <v>30</v>
      </c>
      <c r="C145" s="23" t="s">
        <v>62</v>
      </c>
      <c r="D145" s="23" t="s">
        <v>265</v>
      </c>
      <c r="G145" s="4"/>
      <c r="H145" s="31" t="s">
        <v>102</v>
      </c>
      <c r="I145" s="37">
        <f>(J6/J4)*(1-SQRT(1-2*I144/J6))</f>
        <v>2.0149137688047617E-3</v>
      </c>
      <c r="J145" s="214"/>
      <c r="K145" s="23" t="s">
        <v>256</v>
      </c>
      <c r="L145" s="4"/>
    </row>
    <row r="146" spans="1:14" ht="18.75">
      <c r="A146" s="23" t="s">
        <v>268</v>
      </c>
      <c r="B146" s="256">
        <f>((B139-B133)/2 - B132)*100</f>
        <v>32.5</v>
      </c>
      <c r="C146" s="23" t="s">
        <v>62</v>
      </c>
      <c r="D146" s="23" t="s">
        <v>418</v>
      </c>
      <c r="G146" s="4"/>
      <c r="H146" s="31" t="s">
        <v>258</v>
      </c>
      <c r="I146" s="57">
        <f>I145*B139*B149*10000</f>
        <v>6.0447413064142843</v>
      </c>
      <c r="J146" s="193" t="s">
        <v>259</v>
      </c>
      <c r="K146" s="23" t="s">
        <v>260</v>
      </c>
      <c r="L146" s="4"/>
    </row>
    <row r="147" spans="1:14" ht="18.75">
      <c r="A147" s="31" t="s">
        <v>270</v>
      </c>
      <c r="B147" s="240" t="str">
        <f>IF(B146&gt;=B145,"&gt;","&lt;")</f>
        <v>&gt;</v>
      </c>
      <c r="C147" s="23" t="s">
        <v>271</v>
      </c>
      <c r="D147" s="241" t="str">
        <f>IF(B145&lt;=B146,"ผ่าน","ไม่ผ่าน")</f>
        <v>ผ่าน</v>
      </c>
      <c r="E147" s="23" t="s">
        <v>272</v>
      </c>
      <c r="H147" s="31" t="s">
        <v>262</v>
      </c>
      <c r="I147" s="57">
        <f>J9*B139*B150*10000</f>
        <v>7.5</v>
      </c>
      <c r="J147" s="255" t="s">
        <v>259</v>
      </c>
      <c r="K147" s="23" t="s">
        <v>431</v>
      </c>
    </row>
    <row r="148" spans="1:14" ht="18.75">
      <c r="F148" s="4"/>
      <c r="G148" s="4"/>
      <c r="H148" s="31" t="s">
        <v>266</v>
      </c>
      <c r="I148" s="57">
        <f>IF(I146&gt;=I147,I146,I147)</f>
        <v>7.5</v>
      </c>
      <c r="J148" s="23" t="s">
        <v>259</v>
      </c>
      <c r="K148" s="23" t="s">
        <v>267</v>
      </c>
      <c r="L148" s="4"/>
      <c r="M148" s="4"/>
    </row>
    <row r="149" spans="1:14" ht="18.75">
      <c r="A149" s="23" t="s">
        <v>420</v>
      </c>
      <c r="B149" s="298">
        <v>0.3</v>
      </c>
      <c r="C149" s="23" t="s">
        <v>78</v>
      </c>
      <c r="D149" s="6" t="s">
        <v>421</v>
      </c>
      <c r="E149" s="4"/>
      <c r="F149" s="4"/>
      <c r="G149" s="4"/>
      <c r="H149" s="31" t="s">
        <v>422</v>
      </c>
      <c r="I149" s="312">
        <f>I148/B144</f>
        <v>6.6314559621623053</v>
      </c>
      <c r="J149" s="23" t="s">
        <v>389</v>
      </c>
      <c r="K149" s="23" t="s">
        <v>423</v>
      </c>
    </row>
    <row r="150" spans="1:14" ht="18.75">
      <c r="A150" s="19" t="s">
        <v>380</v>
      </c>
      <c r="B150" s="313">
        <f>B149+B132</f>
        <v>0.375</v>
      </c>
      <c r="C150" s="4"/>
      <c r="D150" s="23" t="s">
        <v>303</v>
      </c>
      <c r="E150" s="4"/>
      <c r="H150" s="31" t="s">
        <v>424</v>
      </c>
      <c r="I150" s="308">
        <v>7</v>
      </c>
      <c r="J150" s="23" t="s">
        <v>425</v>
      </c>
      <c r="K150" s="4"/>
      <c r="N150" s="93"/>
    </row>
    <row r="151" spans="1:14" ht="18.75">
      <c r="A151" s="23"/>
      <c r="B151" s="33"/>
      <c r="C151" s="23"/>
      <c r="D151" s="4"/>
      <c r="E151" s="4"/>
      <c r="H151" s="31" t="s">
        <v>277</v>
      </c>
      <c r="I151" s="57">
        <f>(B139-2*B132)/(I150-1)</f>
        <v>0.14166666666666666</v>
      </c>
      <c r="J151" s="23" t="s">
        <v>78</v>
      </c>
      <c r="K151" s="23" t="s">
        <v>434</v>
      </c>
      <c r="M151" s="6" t="s">
        <v>278</v>
      </c>
    </row>
    <row r="152" spans="1:14" ht="18.75">
      <c r="A152" s="19" t="s">
        <v>193</v>
      </c>
      <c r="E152" s="4"/>
      <c r="H152" s="311"/>
    </row>
    <row r="153" spans="1:14" ht="18.75">
      <c r="A153" s="23" t="s">
        <v>195</v>
      </c>
      <c r="B153" s="289">
        <f>2.4*B139^2*B150</f>
        <v>0.89999999999999991</v>
      </c>
      <c r="C153" s="5" t="s">
        <v>124</v>
      </c>
      <c r="D153" s="6" t="s">
        <v>487</v>
      </c>
      <c r="E153" s="4"/>
      <c r="H153" s="31"/>
      <c r="I153" s="57"/>
      <c r="J153" s="23"/>
      <c r="K153" s="23"/>
    </row>
    <row r="154" spans="1:14" ht="18.75">
      <c r="A154" s="23" t="s">
        <v>197</v>
      </c>
      <c r="B154" s="198">
        <f>B123+B153</f>
        <v>32.856999999999999</v>
      </c>
      <c r="C154" s="5" t="s">
        <v>124</v>
      </c>
      <c r="D154" s="6" t="s">
        <v>198</v>
      </c>
      <c r="H154" s="31"/>
      <c r="I154" s="312"/>
      <c r="J154" s="23"/>
      <c r="K154" s="23"/>
    </row>
    <row r="155" spans="1:14" ht="18.75">
      <c r="A155" s="314" t="s">
        <v>488</v>
      </c>
      <c r="B155" s="198">
        <f>B130*B122</f>
        <v>48</v>
      </c>
      <c r="C155" s="23" t="s">
        <v>124</v>
      </c>
      <c r="D155" s="19" t="str">
        <f>IF(B154&lt;=B155,"P &lt; 4Pa ผ่าน")</f>
        <v>P &lt; 4Pa ผ่าน</v>
      </c>
      <c r="H155" s="31"/>
      <c r="I155" s="23"/>
      <c r="J155" s="23"/>
      <c r="K155" s="4"/>
    </row>
    <row r="156" spans="1:14" ht="18.75">
      <c r="A156" s="23" t="s">
        <v>199</v>
      </c>
      <c r="B156" s="57">
        <f>1.4*B153</f>
        <v>1.2599999999999998</v>
      </c>
      <c r="C156" s="23" t="s">
        <v>124</v>
      </c>
      <c r="D156" s="23" t="s">
        <v>200</v>
      </c>
      <c r="H156" s="31"/>
      <c r="I156" s="57"/>
      <c r="J156" s="23"/>
      <c r="K156" s="23"/>
      <c r="M156" s="6"/>
    </row>
    <row r="157" spans="1:14" ht="18.75">
      <c r="A157" s="23" t="s">
        <v>201</v>
      </c>
      <c r="B157" s="198">
        <f>B125+B156</f>
        <v>48.236999999999995</v>
      </c>
      <c r="C157" s="23" t="s">
        <v>124</v>
      </c>
      <c r="D157" s="6" t="s">
        <v>202</v>
      </c>
    </row>
    <row r="158" spans="1:14" ht="18.75">
      <c r="A158" s="23" t="s">
        <v>436</v>
      </c>
      <c r="B158" s="198">
        <f>B157/B130</f>
        <v>12.059249999999999</v>
      </c>
      <c r="C158" s="23" t="s">
        <v>376</v>
      </c>
      <c r="D158" s="23" t="s">
        <v>489</v>
      </c>
    </row>
    <row r="161" spans="1:14" ht="18.75">
      <c r="A161" s="295" t="s">
        <v>490</v>
      </c>
      <c r="B161" s="4"/>
      <c r="C161" s="4"/>
      <c r="D161" s="4"/>
      <c r="E161" s="4"/>
      <c r="F161" s="4"/>
    </row>
    <row r="162" spans="1:14" ht="18.75">
      <c r="A162" s="23" t="s">
        <v>392</v>
      </c>
      <c r="B162" s="298">
        <v>0.18</v>
      </c>
      <c r="C162" s="23" t="s">
        <v>78</v>
      </c>
      <c r="D162" s="4"/>
      <c r="E162" s="4"/>
      <c r="F162" s="4"/>
      <c r="H162" s="19" t="s">
        <v>230</v>
      </c>
      <c r="I162" s="4"/>
      <c r="J162" s="4"/>
      <c r="K162" s="4"/>
      <c r="L162" s="4"/>
      <c r="M162" s="4"/>
      <c r="N162" s="4"/>
    </row>
    <row r="163" spans="1:14" ht="18.75">
      <c r="A163" s="23" t="s">
        <v>375</v>
      </c>
      <c r="B163" s="30">
        <v>8</v>
      </c>
      <c r="C163" s="23" t="s">
        <v>376</v>
      </c>
      <c r="D163" s="4"/>
      <c r="E163" s="4"/>
      <c r="F163" s="4"/>
      <c r="H163" s="31" t="s">
        <v>232</v>
      </c>
      <c r="I163" s="198">
        <f>J12*J16*(4*B190^2+4*B174*B190)/1000</f>
        <v>79.008860262631302</v>
      </c>
      <c r="J163" s="23" t="s">
        <v>124</v>
      </c>
      <c r="K163" s="249" t="s">
        <v>233</v>
      </c>
      <c r="L163" s="57"/>
      <c r="N163" s="4"/>
    </row>
    <row r="164" spans="1:14" ht="18.75">
      <c r="A164" s="23" t="s">
        <v>222</v>
      </c>
      <c r="B164" s="199">
        <v>31.957000000000001</v>
      </c>
      <c r="C164" s="23" t="s">
        <v>124</v>
      </c>
      <c r="D164" s="4"/>
      <c r="E164" s="4"/>
      <c r="F164" s="4"/>
      <c r="H164" s="31" t="s">
        <v>393</v>
      </c>
      <c r="I164" s="57">
        <f>(B174+B190)/2</f>
        <v>0.25</v>
      </c>
      <c r="J164" s="23" t="s">
        <v>78</v>
      </c>
      <c r="K164" s="249" t="s">
        <v>394</v>
      </c>
      <c r="L164" s="57"/>
      <c r="N164" s="4"/>
    </row>
    <row r="165" spans="1:14" ht="18.75">
      <c r="A165" s="5" t="s">
        <v>225</v>
      </c>
      <c r="B165" s="21">
        <v>20</v>
      </c>
      <c r="C165" s="5" t="s">
        <v>226</v>
      </c>
      <c r="D165" s="4"/>
      <c r="E165" s="4"/>
      <c r="F165" s="4"/>
      <c r="H165" s="31" t="s">
        <v>395</v>
      </c>
      <c r="I165" s="57">
        <f>SQRT(2)*((B177/2)-I164)</f>
        <v>0.24748737341529164</v>
      </c>
      <c r="J165" s="23" t="s">
        <v>78</v>
      </c>
      <c r="K165" s="249" t="s">
        <v>491</v>
      </c>
      <c r="L165" s="57"/>
      <c r="N165" s="4"/>
    </row>
    <row r="166" spans="1:14" ht="18.75">
      <c r="A166" s="23" t="s">
        <v>231</v>
      </c>
      <c r="B166" s="199">
        <v>46.976999999999997</v>
      </c>
      <c r="C166" s="23" t="s">
        <v>124</v>
      </c>
      <c r="E166" s="4"/>
      <c r="F166" s="4"/>
      <c r="H166" s="31" t="s">
        <v>397</v>
      </c>
      <c r="I166" s="57">
        <f>4*B199*(0.5+I165/B162)</f>
        <v>73.415878254851151</v>
      </c>
      <c r="J166" s="23" t="s">
        <v>124</v>
      </c>
      <c r="K166" s="249" t="s">
        <v>481</v>
      </c>
      <c r="L166" s="57"/>
      <c r="N166" s="4"/>
    </row>
    <row r="167" spans="1:14" ht="18.75">
      <c r="A167" s="5"/>
      <c r="B167" s="307"/>
      <c r="C167" s="5"/>
      <c r="D167" s="4"/>
      <c r="E167" s="4"/>
      <c r="F167" s="4"/>
      <c r="H167" s="31" t="s">
        <v>236</v>
      </c>
      <c r="I167" s="198">
        <f>IF(I166&lt;=4*B199,I166,4*B199)</f>
        <v>39.156599999999997</v>
      </c>
      <c r="J167" s="23" t="s">
        <v>124</v>
      </c>
      <c r="K167" s="301" t="s">
        <v>482</v>
      </c>
      <c r="L167" s="57"/>
      <c r="N167" s="4"/>
    </row>
    <row r="168" spans="1:14" ht="18.75">
      <c r="A168" s="5" t="s">
        <v>227</v>
      </c>
      <c r="B168" s="242">
        <f>0.2*B164</f>
        <v>6.3914000000000009</v>
      </c>
      <c r="C168" s="5" t="s">
        <v>124</v>
      </c>
      <c r="D168" s="4"/>
      <c r="E168" s="4"/>
      <c r="F168" s="4"/>
      <c r="H168" s="31" t="s">
        <v>236</v>
      </c>
      <c r="I168" s="240" t="str">
        <f>IF(I167&lt;=I163,"&lt;","&gt;")</f>
        <v>&lt;</v>
      </c>
      <c r="J168" s="23" t="s">
        <v>232</v>
      </c>
      <c r="K168" s="241" t="str">
        <f>IF(I167&lt;=I163,"ผ่าน","ไม่ผ่าน")</f>
        <v>ผ่าน</v>
      </c>
      <c r="L168" s="4"/>
      <c r="M168" s="4"/>
      <c r="N168" s="4"/>
    </row>
    <row r="169" spans="1:14" ht="18.75">
      <c r="A169" s="23" t="s">
        <v>228</v>
      </c>
      <c r="B169" s="251">
        <f>B164+B168</f>
        <v>38.348399999999998</v>
      </c>
      <c r="C169" s="5" t="s">
        <v>124</v>
      </c>
      <c r="D169" s="6" t="s">
        <v>229</v>
      </c>
      <c r="E169" s="4"/>
      <c r="F169" s="4"/>
      <c r="G169" s="4"/>
      <c r="H169" s="4"/>
      <c r="N169" s="4"/>
    </row>
    <row r="170" spans="1:14" ht="18.75">
      <c r="A170" s="23" t="s">
        <v>400</v>
      </c>
      <c r="B170" s="256">
        <f>B169/B163</f>
        <v>4.7935499999999998</v>
      </c>
      <c r="C170" s="23" t="s">
        <v>401</v>
      </c>
      <c r="F170" s="4"/>
      <c r="H170" s="19" t="s">
        <v>217</v>
      </c>
      <c r="K170" s="4"/>
      <c r="L170" s="4"/>
      <c r="M170" s="4"/>
      <c r="N170" s="4"/>
    </row>
    <row r="171" spans="1:14" ht="18.75">
      <c r="A171" s="23" t="s">
        <v>402</v>
      </c>
      <c r="B171" s="308">
        <v>5</v>
      </c>
      <c r="C171" s="23" t="s">
        <v>401</v>
      </c>
      <c r="F171" s="4"/>
      <c r="H171" s="31" t="s">
        <v>220</v>
      </c>
      <c r="I171" s="198">
        <f>J12*J14*B180*B190/1000</f>
        <v>26.171684961996618</v>
      </c>
      <c r="J171" s="246" t="s">
        <v>124</v>
      </c>
      <c r="K171" s="247" t="s">
        <v>483</v>
      </c>
      <c r="M171" s="7"/>
      <c r="N171" s="4"/>
    </row>
    <row r="172" spans="1:14" ht="18.75">
      <c r="A172" s="4"/>
      <c r="B172" s="4"/>
      <c r="C172" s="4"/>
      <c r="D172" s="4"/>
      <c r="E172" s="4"/>
      <c r="F172" s="4"/>
      <c r="H172" s="31" t="s">
        <v>393</v>
      </c>
      <c r="I172" s="57">
        <f>B174/2+B190</f>
        <v>0.4</v>
      </c>
      <c r="J172" s="23" t="s">
        <v>78</v>
      </c>
      <c r="K172" s="249" t="s">
        <v>403</v>
      </c>
      <c r="M172" s="250"/>
      <c r="N172" s="57"/>
    </row>
    <row r="173" spans="1:14" ht="18.75">
      <c r="A173" s="23" t="s">
        <v>377</v>
      </c>
      <c r="B173" s="199">
        <v>7.4999999999999997E-2</v>
      </c>
      <c r="C173" s="23" t="s">
        <v>78</v>
      </c>
      <c r="D173" s="4"/>
      <c r="E173" s="4"/>
      <c r="F173" s="4"/>
      <c r="H173" s="31" t="s">
        <v>395</v>
      </c>
      <c r="I173" s="57">
        <f>B177/2-I172</f>
        <v>2.4999999999999967E-2</v>
      </c>
      <c r="J173" s="23" t="s">
        <v>78</v>
      </c>
      <c r="K173" s="249" t="s">
        <v>396</v>
      </c>
      <c r="M173" s="214"/>
      <c r="N173" s="57"/>
    </row>
    <row r="174" spans="1:14" ht="18.75">
      <c r="A174" s="23" t="s">
        <v>218</v>
      </c>
      <c r="B174" s="298">
        <v>0.2</v>
      </c>
      <c r="C174" s="23" t="s">
        <v>78</v>
      </c>
      <c r="D174" s="6"/>
      <c r="E174" s="4"/>
      <c r="F174" s="4"/>
      <c r="H174" s="31" t="s">
        <v>404</v>
      </c>
      <c r="I174" s="57">
        <f>2*B199*(0.5+I173/B162)</f>
        <v>12.50835833333333</v>
      </c>
      <c r="J174" s="23" t="s">
        <v>124</v>
      </c>
      <c r="K174" s="249" t="s">
        <v>398</v>
      </c>
      <c r="N174" s="57"/>
    </row>
    <row r="175" spans="1:14" ht="18.75">
      <c r="A175" s="23" t="s">
        <v>378</v>
      </c>
      <c r="B175" s="298">
        <v>0.2</v>
      </c>
      <c r="C175" s="23" t="s">
        <v>78</v>
      </c>
      <c r="D175" s="6" t="s">
        <v>379</v>
      </c>
      <c r="E175" s="4"/>
      <c r="F175" s="4"/>
      <c r="H175" s="31" t="s">
        <v>223</v>
      </c>
      <c r="I175" s="198">
        <f>IF(I174&gt;0,I174,0)</f>
        <v>12.50835833333333</v>
      </c>
      <c r="J175" s="23" t="s">
        <v>124</v>
      </c>
      <c r="K175" s="23" t="s">
        <v>406</v>
      </c>
      <c r="N175" s="57"/>
    </row>
    <row r="176" spans="1:14" ht="18.75">
      <c r="A176" s="23" t="s">
        <v>407</v>
      </c>
      <c r="B176" s="313">
        <f>3*B175*SQRT(2)</f>
        <v>0.84852813742385724</v>
      </c>
      <c r="C176" s="23" t="s">
        <v>78</v>
      </c>
      <c r="D176" s="6" t="s">
        <v>492</v>
      </c>
      <c r="E176" s="4"/>
      <c r="F176" s="4"/>
      <c r="H176" s="31" t="s">
        <v>223</v>
      </c>
      <c r="I176" s="310" t="str">
        <f>IF(I175&lt;=I171,"&lt;","&gt;")</f>
        <v>&lt;</v>
      </c>
      <c r="J176" s="246" t="s">
        <v>220</v>
      </c>
      <c r="K176" s="241" t="str">
        <f>IF(I175&lt;=I171,"ผ่าน","ไม่ผ่าน")</f>
        <v>ผ่าน</v>
      </c>
      <c r="N176" s="57"/>
    </row>
    <row r="177" spans="1:14" ht="18.75">
      <c r="A177" s="23" t="s">
        <v>409</v>
      </c>
      <c r="B177" s="298">
        <v>0.85</v>
      </c>
      <c r="C177" s="301" t="s">
        <v>78</v>
      </c>
      <c r="L177" s="214"/>
      <c r="N177" s="4"/>
    </row>
    <row r="178" spans="1:14" ht="18.75">
      <c r="A178" s="23" t="s">
        <v>410</v>
      </c>
      <c r="B178" s="309">
        <f>B175</f>
        <v>0.2</v>
      </c>
      <c r="C178" s="23" t="s">
        <v>78</v>
      </c>
      <c r="D178" s="23" t="s">
        <v>411</v>
      </c>
      <c r="H178" s="19" t="s">
        <v>241</v>
      </c>
    </row>
    <row r="179" spans="1:14" ht="18.75">
      <c r="A179" s="23" t="s">
        <v>412</v>
      </c>
      <c r="B179" s="298">
        <v>0.2</v>
      </c>
      <c r="C179" s="23" t="s">
        <v>78</v>
      </c>
      <c r="E179" s="4"/>
      <c r="F179" s="4"/>
      <c r="G179" s="4"/>
      <c r="H179" s="31" t="s">
        <v>122</v>
      </c>
      <c r="I179" s="198">
        <f>J11*J10*B180*(B190*100)^2/1000</f>
        <v>55.344911132812491</v>
      </c>
      <c r="J179" s="23" t="s">
        <v>121</v>
      </c>
      <c r="K179" s="249" t="s">
        <v>484</v>
      </c>
      <c r="M179" s="57"/>
    </row>
    <row r="180" spans="1:14" ht="18.75">
      <c r="A180" s="19" t="s">
        <v>413</v>
      </c>
      <c r="B180" s="309">
        <f>B177+2*B179</f>
        <v>1.25</v>
      </c>
      <c r="C180" s="23" t="s">
        <v>78</v>
      </c>
      <c r="D180" s="6" t="s">
        <v>414</v>
      </c>
      <c r="E180" s="4"/>
      <c r="F180" s="4"/>
      <c r="G180" s="4"/>
      <c r="H180" s="31" t="s">
        <v>99</v>
      </c>
      <c r="I180" s="198">
        <f>2*B199*1000*(B177-B174)/2/1000</f>
        <v>6.3629474999999989</v>
      </c>
      <c r="J180" s="23" t="s">
        <v>121</v>
      </c>
      <c r="K180" s="6" t="s">
        <v>485</v>
      </c>
      <c r="M180" s="57"/>
    </row>
    <row r="181" spans="1:14" ht="18.75">
      <c r="A181" s="23"/>
      <c r="B181" s="33"/>
      <c r="C181" s="23"/>
      <c r="D181" s="6"/>
      <c r="E181" s="4"/>
      <c r="F181" s="4"/>
      <c r="G181" s="4"/>
      <c r="H181" s="31" t="s">
        <v>99</v>
      </c>
      <c r="I181" s="240" t="str">
        <f>IF(I180&lt;=I179,"&lt;","&gt;")</f>
        <v>&lt;</v>
      </c>
      <c r="J181" s="246" t="s">
        <v>122</v>
      </c>
      <c r="K181" s="241" t="str">
        <f>IF(I180&lt;=I179,"ผ่าน","ไม่ผ่าน")</f>
        <v>ผ่าน</v>
      </c>
      <c r="L181" s="57"/>
      <c r="M181" s="57"/>
    </row>
    <row r="182" spans="1:14" ht="18.75">
      <c r="A182" s="19" t="s">
        <v>252</v>
      </c>
      <c r="L182" s="93"/>
      <c r="M182" s="93"/>
    </row>
    <row r="183" spans="1:14" ht="18.75">
      <c r="A183" s="23" t="s">
        <v>254</v>
      </c>
      <c r="B183" s="23">
        <v>30</v>
      </c>
      <c r="C183" s="23" t="s">
        <v>62</v>
      </c>
      <c r="D183" s="6" t="s">
        <v>255</v>
      </c>
      <c r="H183" s="17" t="s">
        <v>251</v>
      </c>
      <c r="I183" s="4"/>
      <c r="J183" s="4"/>
      <c r="K183" s="4"/>
      <c r="L183" s="57"/>
      <c r="M183" s="57"/>
    </row>
    <row r="184" spans="1:14" ht="18.75">
      <c r="A184" s="23" t="s">
        <v>257</v>
      </c>
      <c r="B184" s="30">
        <v>12</v>
      </c>
      <c r="C184" s="23" t="s">
        <v>47</v>
      </c>
      <c r="H184" s="311" t="s">
        <v>416</v>
      </c>
    </row>
    <row r="185" spans="1:14" ht="18.75">
      <c r="A185" s="31" t="s">
        <v>261</v>
      </c>
      <c r="B185" s="57">
        <f>PI()*(B184/10)^2/4</f>
        <v>1.1309733552923256</v>
      </c>
      <c r="C185" s="23" t="s">
        <v>259</v>
      </c>
      <c r="H185" s="31" t="s">
        <v>100</v>
      </c>
      <c r="I185" s="32">
        <f>I180*1000/J11/B180/(B190*100)^2</f>
        <v>6.2843925925925923</v>
      </c>
      <c r="J185" s="193" t="s">
        <v>12</v>
      </c>
      <c r="K185" s="23" t="s">
        <v>486</v>
      </c>
      <c r="L185" s="4"/>
    </row>
    <row r="186" spans="1:14" ht="18.75">
      <c r="A186" s="23" t="s">
        <v>417</v>
      </c>
      <c r="B186" s="312">
        <f>IF($J$4*(B184/10)/13.3/SQRT($J$3)&gt;30,$J$4*(B184/10)/13.3/SQRT($J$3),30)</f>
        <v>30</v>
      </c>
      <c r="C186" s="23" t="s">
        <v>62</v>
      </c>
      <c r="D186" s="23" t="s">
        <v>265</v>
      </c>
      <c r="G186" s="4"/>
      <c r="H186" s="31" t="s">
        <v>102</v>
      </c>
      <c r="I186" s="37">
        <f>(J6/J4)*(1-SQRT(1-2*I185/J6))</f>
        <v>2.1280975240393616E-3</v>
      </c>
      <c r="J186" s="214"/>
      <c r="K186" s="23" t="s">
        <v>256</v>
      </c>
      <c r="L186" s="4"/>
    </row>
    <row r="187" spans="1:14" ht="18.75">
      <c r="A187" s="23" t="s">
        <v>268</v>
      </c>
      <c r="B187" s="312">
        <f>((B180-B174)/2 - B173)*100</f>
        <v>45</v>
      </c>
      <c r="C187" s="23" t="s">
        <v>62</v>
      </c>
      <c r="D187" s="23" t="s">
        <v>418</v>
      </c>
      <c r="G187" s="4"/>
      <c r="H187" s="31" t="s">
        <v>258</v>
      </c>
      <c r="I187" s="57">
        <f>I186*B180*B190*10000</f>
        <v>7.980365715147606</v>
      </c>
      <c r="J187" s="193" t="s">
        <v>259</v>
      </c>
      <c r="K187" s="23" t="s">
        <v>260</v>
      </c>
      <c r="L187" s="4"/>
    </row>
    <row r="188" spans="1:14" ht="18.75">
      <c r="A188" s="31" t="s">
        <v>270</v>
      </c>
      <c r="B188" s="240" t="str">
        <f>IF(B187&gt;=B186,"&gt;","&lt;")</f>
        <v>&gt;</v>
      </c>
      <c r="C188" s="23" t="s">
        <v>271</v>
      </c>
      <c r="D188" s="241" t="str">
        <f>IF(B186&lt;=B187,"ผ่าน","ไม่ผ่าน")</f>
        <v>ผ่าน</v>
      </c>
      <c r="E188" s="23" t="s">
        <v>272</v>
      </c>
      <c r="H188" s="31" t="s">
        <v>262</v>
      </c>
      <c r="I188" s="57">
        <f>J9*B180*B191*10000</f>
        <v>9.375</v>
      </c>
      <c r="J188" s="255" t="s">
        <v>259</v>
      </c>
      <c r="K188" s="23" t="s">
        <v>431</v>
      </c>
    </row>
    <row r="189" spans="1:14" ht="18.75">
      <c r="F189" s="4"/>
      <c r="G189" s="4"/>
      <c r="H189" s="31" t="s">
        <v>266</v>
      </c>
      <c r="I189" s="57">
        <f>IF(I187&gt;=I188,I187,I188)</f>
        <v>9.375</v>
      </c>
      <c r="J189" s="23" t="s">
        <v>259</v>
      </c>
      <c r="K189" s="23" t="s">
        <v>267</v>
      </c>
      <c r="L189" s="4"/>
      <c r="M189" s="4"/>
    </row>
    <row r="190" spans="1:14" ht="18.75">
      <c r="A190" s="23" t="s">
        <v>420</v>
      </c>
      <c r="B190" s="298">
        <v>0.3</v>
      </c>
      <c r="C190" s="23" t="s">
        <v>78</v>
      </c>
      <c r="D190" s="6" t="s">
        <v>421</v>
      </c>
      <c r="E190" s="4"/>
      <c r="F190" s="4"/>
      <c r="G190" s="4"/>
      <c r="H190" s="31" t="s">
        <v>422</v>
      </c>
      <c r="I190" s="312">
        <f>I189/B185</f>
        <v>8.2893199527028827</v>
      </c>
      <c r="J190" s="23" t="s">
        <v>389</v>
      </c>
      <c r="K190" s="23" t="s">
        <v>423</v>
      </c>
    </row>
    <row r="191" spans="1:14" ht="18.75">
      <c r="A191" s="19" t="s">
        <v>380</v>
      </c>
      <c r="B191" s="313">
        <f>B190+B173</f>
        <v>0.375</v>
      </c>
      <c r="C191" s="4"/>
      <c r="D191" s="23" t="s">
        <v>303</v>
      </c>
      <c r="E191" s="4"/>
      <c r="H191" s="31" t="s">
        <v>424</v>
      </c>
      <c r="I191" s="308">
        <v>9</v>
      </c>
      <c r="J191" s="23" t="s">
        <v>425</v>
      </c>
      <c r="K191" s="4"/>
      <c r="N191" s="93"/>
    </row>
    <row r="192" spans="1:14" ht="18.75">
      <c r="A192" s="23"/>
      <c r="B192" s="33"/>
      <c r="C192" s="23"/>
      <c r="D192" s="4"/>
      <c r="E192" s="4"/>
      <c r="H192" s="31" t="s">
        <v>277</v>
      </c>
      <c r="I192" s="57">
        <f>(B180-2*B173)/(I191-1)</f>
        <v>0.13750000000000001</v>
      </c>
      <c r="J192" s="23" t="s">
        <v>78</v>
      </c>
      <c r="K192" s="23" t="s">
        <v>434</v>
      </c>
      <c r="M192" s="6" t="s">
        <v>278</v>
      </c>
    </row>
    <row r="193" spans="1:13" ht="18.75">
      <c r="A193" s="19" t="s">
        <v>193</v>
      </c>
      <c r="E193" s="4"/>
      <c r="H193" s="311"/>
    </row>
    <row r="194" spans="1:13" ht="18.75">
      <c r="A194" s="23" t="s">
        <v>195</v>
      </c>
      <c r="B194" s="289">
        <f>2.4*B180^2*B191</f>
        <v>1.40625</v>
      </c>
      <c r="C194" s="5" t="s">
        <v>124</v>
      </c>
      <c r="D194" s="6" t="s">
        <v>487</v>
      </c>
      <c r="E194" s="4"/>
      <c r="H194" s="31"/>
      <c r="I194" s="57"/>
      <c r="J194" s="23"/>
      <c r="K194" s="23"/>
    </row>
    <row r="195" spans="1:13" ht="18.75">
      <c r="A195" s="23" t="s">
        <v>197</v>
      </c>
      <c r="B195" s="198">
        <f>B164+B194</f>
        <v>33.363250000000001</v>
      </c>
      <c r="C195" s="5" t="s">
        <v>124</v>
      </c>
      <c r="D195" s="6" t="s">
        <v>198</v>
      </c>
      <c r="H195" s="31"/>
      <c r="I195" s="312"/>
      <c r="J195" s="23"/>
      <c r="K195" s="23"/>
    </row>
    <row r="196" spans="1:13" ht="18.75">
      <c r="A196" s="314" t="s">
        <v>493</v>
      </c>
      <c r="B196" s="198">
        <f>B171*B163</f>
        <v>40</v>
      </c>
      <c r="C196" s="23" t="s">
        <v>124</v>
      </c>
      <c r="D196" s="19" t="str">
        <f>IF(B195&lt;=B196,"P &lt; 5Pa ผ่าน")</f>
        <v>P &lt; 5Pa ผ่าน</v>
      </c>
      <c r="H196" s="31"/>
      <c r="I196" s="23"/>
      <c r="J196" s="23"/>
      <c r="K196" s="4"/>
    </row>
    <row r="197" spans="1:13" ht="18.75">
      <c r="A197" s="23" t="s">
        <v>199</v>
      </c>
      <c r="B197" s="57">
        <f>1.4*B194</f>
        <v>1.9687499999999998</v>
      </c>
      <c r="C197" s="23" t="s">
        <v>124</v>
      </c>
      <c r="D197" s="23" t="s">
        <v>200</v>
      </c>
      <c r="H197" s="31"/>
      <c r="I197" s="57"/>
      <c r="J197" s="23"/>
      <c r="K197" s="23"/>
      <c r="M197" s="6"/>
    </row>
    <row r="198" spans="1:13" ht="18.75">
      <c r="A198" s="23" t="s">
        <v>201</v>
      </c>
      <c r="B198" s="198">
        <f>B166+B197</f>
        <v>48.945749999999997</v>
      </c>
      <c r="C198" s="23" t="s">
        <v>124</v>
      </c>
      <c r="D198" s="6" t="s">
        <v>202</v>
      </c>
    </row>
    <row r="199" spans="1:13" ht="18.75">
      <c r="A199" s="23" t="s">
        <v>436</v>
      </c>
      <c r="B199" s="198">
        <f>B198/B171</f>
        <v>9.7891499999999994</v>
      </c>
      <c r="C199" s="23" t="s">
        <v>376</v>
      </c>
      <c r="D199" s="23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11</vt:i4>
      </vt:variant>
    </vt:vector>
  </HeadingPairs>
  <TitlesOfParts>
    <vt:vector size="13" baseType="lpstr">
      <vt:lpstr>แผ่นพื้น-คาน-เสา-ฐานรากวางบนดิน</vt:lpstr>
      <vt:lpstr>ฐานรากวางบนเสาเข็ม</vt:lpstr>
      <vt:lpstr>Av</vt:lpstr>
      <vt:lpstr>b</vt:lpstr>
      <vt:lpstr>cov</vt:lpstr>
      <vt:lpstr>fcu</vt:lpstr>
      <vt:lpstr>fsy</vt:lpstr>
      <vt:lpstr>fy</vt:lpstr>
      <vt:lpstr>h</vt:lpstr>
      <vt:lpstr>pM</vt:lpstr>
      <vt:lpstr>pMin</vt:lpstr>
      <vt:lpstr>pV</vt:lpstr>
      <vt:lpstr>Rnt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2024-03-16T08:16:24Z</dcterms:modified>
</cp:coreProperties>
</file>