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แผ่น1" sheetId="1" r:id="rId1"/>
  </sheets>
  <calcPr calcId="144525"/>
</workbook>
</file>

<file path=xl/calcChain.xml><?xml version="1.0" encoding="utf-8"?>
<calcChain xmlns="http://schemas.openxmlformats.org/spreadsheetml/2006/main">
  <c r="U192" i="1" l="1"/>
  <c r="U193" i="1"/>
  <c r="R188" i="1" l="1"/>
  <c r="U188" i="1" s="1"/>
  <c r="U189" i="1" s="1"/>
  <c r="Q188" i="1"/>
  <c r="S183" i="1"/>
  <c r="R183" i="1"/>
  <c r="Q183" i="1"/>
  <c r="X171" i="1"/>
  <c r="P171" i="1" s="1"/>
  <c r="W171" i="1"/>
  <c r="O171" i="1" s="1"/>
  <c r="S171" i="1"/>
  <c r="T171" i="1" s="1"/>
  <c r="X170" i="1"/>
  <c r="P170" i="1" s="1"/>
  <c r="W170" i="1"/>
  <c r="O170" i="1" s="1"/>
  <c r="S170" i="1"/>
  <c r="T170" i="1" s="1"/>
  <c r="X169" i="1"/>
  <c r="P169" i="1" s="1"/>
  <c r="W169" i="1"/>
  <c r="O169" i="1" s="1"/>
  <c r="S169" i="1"/>
  <c r="T169" i="1" s="1"/>
  <c r="X168" i="1"/>
  <c r="P168" i="1" s="1"/>
  <c r="W168" i="1"/>
  <c r="O168" i="1" s="1"/>
  <c r="S168" i="1"/>
  <c r="T168" i="1" s="1"/>
  <c r="O156" i="1"/>
  <c r="O153" i="1"/>
  <c r="O154" i="1" s="1"/>
  <c r="D150" i="1"/>
  <c r="D151" i="1" s="1"/>
  <c r="D134" i="1"/>
  <c r="D143" i="1" s="1"/>
  <c r="T131" i="1"/>
  <c r="S131" i="1"/>
  <c r="N131" i="1"/>
  <c r="R131" i="1" s="1"/>
  <c r="T130" i="1"/>
  <c r="S130" i="1"/>
  <c r="N130" i="1"/>
  <c r="R130" i="1" s="1"/>
  <c r="T129" i="1"/>
  <c r="S129" i="1"/>
  <c r="N129" i="1"/>
  <c r="R129" i="1" s="1"/>
  <c r="T128" i="1"/>
  <c r="S128" i="1"/>
  <c r="N128" i="1"/>
  <c r="R128" i="1" s="1"/>
  <c r="T127" i="1"/>
  <c r="S127" i="1"/>
  <c r="N127" i="1"/>
  <c r="R127" i="1" s="1"/>
  <c r="T126" i="1"/>
  <c r="S126" i="1"/>
  <c r="N126" i="1"/>
  <c r="R126" i="1" s="1"/>
  <c r="D126" i="1"/>
  <c r="D128" i="1" s="1"/>
  <c r="T125" i="1"/>
  <c r="S125" i="1"/>
  <c r="N125" i="1"/>
  <c r="R125" i="1" s="1"/>
  <c r="T124" i="1"/>
  <c r="S124" i="1"/>
  <c r="N124" i="1"/>
  <c r="R124" i="1" s="1"/>
  <c r="D124" i="1"/>
  <c r="E124" i="1" s="1"/>
  <c r="O121" i="1"/>
  <c r="T121" i="1" s="1"/>
  <c r="O120" i="1"/>
  <c r="T120" i="1" s="1"/>
  <c r="O119" i="1"/>
  <c r="T119" i="1" s="1"/>
  <c r="O118" i="1"/>
  <c r="T118" i="1" s="1"/>
  <c r="D118" i="1"/>
  <c r="D116" i="1"/>
  <c r="D112" i="1"/>
  <c r="D111" i="1"/>
  <c r="D110" i="1"/>
  <c r="D103" i="1"/>
  <c r="D104" i="1" s="1"/>
  <c r="T97" i="1"/>
  <c r="T98" i="1" s="1"/>
  <c r="R101" i="1" s="1"/>
  <c r="I87" i="1"/>
  <c r="G85" i="1"/>
  <c r="I80" i="1"/>
  <c r="G78" i="1"/>
  <c r="I73" i="1"/>
  <c r="G71" i="1"/>
  <c r="I66" i="1"/>
  <c r="G64" i="1"/>
  <c r="I59" i="1"/>
  <c r="G57" i="1"/>
  <c r="I52" i="1"/>
  <c r="G50" i="1"/>
  <c r="I45" i="1"/>
  <c r="G43" i="1"/>
  <c r="D39" i="1"/>
  <c r="I38" i="1"/>
  <c r="D37" i="1"/>
  <c r="D38" i="1" s="1"/>
  <c r="D42" i="1" s="1"/>
  <c r="G36" i="1"/>
  <c r="D40" i="1"/>
  <c r="I36" i="1" s="1"/>
  <c r="I31" i="1"/>
  <c r="J29" i="1"/>
  <c r="H29" i="1"/>
  <c r="G29" i="1"/>
  <c r="D27" i="1"/>
  <c r="W22" i="1"/>
  <c r="F15" i="1"/>
  <c r="D137" i="1" s="1"/>
  <c r="B15" i="1"/>
  <c r="D109" i="1" s="1"/>
  <c r="B10" i="1"/>
  <c r="B9" i="1"/>
  <c r="B11" i="1" s="1"/>
  <c r="U121" i="1" l="1"/>
  <c r="U183" i="1"/>
  <c r="U184" i="1" s="1"/>
  <c r="U119" i="1"/>
  <c r="U120" i="1"/>
  <c r="I28" i="1"/>
  <c r="Q94" i="1"/>
  <c r="P102" i="1" s="1"/>
  <c r="U118" i="1"/>
  <c r="U128" i="1"/>
  <c r="N22" i="1"/>
  <c r="N85" i="1" s="1"/>
  <c r="L29" i="1"/>
  <c r="D125" i="1"/>
  <c r="D127" i="1" s="1"/>
  <c r="D129" i="1" s="1"/>
  <c r="D130" i="1" s="1"/>
  <c r="R120" i="1" s="1"/>
  <c r="U127" i="1"/>
  <c r="U131" i="1"/>
  <c r="B16" i="1"/>
  <c r="B17" i="1" s="1"/>
  <c r="D25" i="1" s="1"/>
  <c r="U124" i="1"/>
  <c r="U125" i="1"/>
  <c r="U126" i="1"/>
  <c r="U130" i="1"/>
  <c r="U129" i="1"/>
  <c r="I63" i="1"/>
  <c r="D44" i="1"/>
  <c r="I78" i="1"/>
  <c r="I30" i="1"/>
  <c r="I64" i="1"/>
  <c r="I29" i="1"/>
  <c r="M29" i="1" s="1"/>
  <c r="I72" i="1"/>
  <c r="M72" i="1" s="1"/>
  <c r="L50" i="1"/>
  <c r="F16" i="1"/>
  <c r="I86" i="1"/>
  <c r="M86" i="1" s="1"/>
  <c r="I77" i="1"/>
  <c r="I71" i="1"/>
  <c r="I58" i="1"/>
  <c r="M58" i="1" s="1"/>
  <c r="I49" i="1"/>
  <c r="M49" i="1" s="1"/>
  <c r="I43" i="1"/>
  <c r="M43" i="1" s="1"/>
  <c r="I35" i="1"/>
  <c r="I37" i="1"/>
  <c r="M37" i="1" s="1"/>
  <c r="I42" i="1"/>
  <c r="M42" i="1" s="1"/>
  <c r="N50" i="1"/>
  <c r="I51" i="1"/>
  <c r="M51" i="1" s="1"/>
  <c r="L64" i="1"/>
  <c r="L78" i="1"/>
  <c r="D93" i="1"/>
  <c r="U177" i="1"/>
  <c r="D144" i="1"/>
  <c r="L85" i="1"/>
  <c r="N71" i="1"/>
  <c r="L57" i="1"/>
  <c r="N43" i="1"/>
  <c r="L36" i="1"/>
  <c r="D24" i="1"/>
  <c r="M28" i="1"/>
  <c r="N29" i="1"/>
  <c r="M36" i="1"/>
  <c r="L43" i="1"/>
  <c r="I56" i="1"/>
  <c r="M56" i="1" s="1"/>
  <c r="I57" i="1"/>
  <c r="M57" i="1" s="1"/>
  <c r="I65" i="1"/>
  <c r="M65" i="1" s="1"/>
  <c r="N78" i="1"/>
  <c r="I79" i="1"/>
  <c r="M79" i="1" s="1"/>
  <c r="D105" i="1"/>
  <c r="O155" i="1"/>
  <c r="D153" i="1"/>
  <c r="D155" i="1" s="1"/>
  <c r="I44" i="1"/>
  <c r="M44" i="1" s="1"/>
  <c r="I50" i="1"/>
  <c r="M50" i="1" s="1"/>
  <c r="N64" i="1"/>
  <c r="I70" i="1"/>
  <c r="M70" i="1" s="1"/>
  <c r="L71" i="1"/>
  <c r="I84" i="1"/>
  <c r="M84" i="1" s="1"/>
  <c r="I85" i="1"/>
  <c r="M85" i="1" s="1"/>
  <c r="R102" i="1"/>
  <c r="Y170" i="1"/>
  <c r="U190" i="1"/>
  <c r="D141" i="1"/>
  <c r="U194" i="1"/>
  <c r="Y169" i="1"/>
  <c r="Y171" i="1"/>
  <c r="R118" i="1" l="1"/>
  <c r="R119" i="1"/>
  <c r="M64" i="1"/>
  <c r="M63" i="1"/>
  <c r="Q95" i="1"/>
  <c r="R103" i="1" s="1"/>
  <c r="S94" i="1"/>
  <c r="M35" i="1"/>
  <c r="M71" i="1"/>
  <c r="N57" i="1"/>
  <c r="M30" i="1"/>
  <c r="Q30" i="1" s="1"/>
  <c r="U30" i="1" s="1"/>
  <c r="Y30" i="1" s="1"/>
  <c r="M77" i="1"/>
  <c r="B18" i="1"/>
  <c r="D26" i="1" s="1"/>
  <c r="N23" i="1" s="1"/>
  <c r="N36" i="1"/>
  <c r="M78" i="1"/>
  <c r="Q22" i="1"/>
  <c r="P29" i="1" s="1"/>
  <c r="T29" i="1" s="1"/>
  <c r="X29" i="1" s="1"/>
  <c r="R121" i="1"/>
  <c r="R78" i="1"/>
  <c r="V78" i="1" s="1"/>
  <c r="Z78" i="1" s="1"/>
  <c r="D160" i="1"/>
  <c r="D167" i="1" s="1"/>
  <c r="D158" i="1"/>
  <c r="P57" i="1"/>
  <c r="T57" i="1" s="1"/>
  <c r="X57" i="1" s="1"/>
  <c r="D94" i="1"/>
  <c r="F17" i="1"/>
  <c r="Q64" i="1"/>
  <c r="U64" i="1" s="1"/>
  <c r="Y64" i="1" s="1"/>
  <c r="D142" i="1"/>
  <c r="U176" i="1"/>
  <c r="T156" i="1"/>
  <c r="O160" i="1"/>
  <c r="Q86" i="1"/>
  <c r="U86" i="1" s="1"/>
  <c r="Y86" i="1" s="1"/>
  <c r="Q49" i="1" l="1"/>
  <c r="U49" i="1" s="1"/>
  <c r="Y49" i="1" s="1"/>
  <c r="P50" i="1"/>
  <c r="T50" i="1" s="1"/>
  <c r="X50" i="1" s="1"/>
  <c r="R85" i="1"/>
  <c r="V85" i="1" s="1"/>
  <c r="Z85" i="1" s="1"/>
  <c r="R64" i="1"/>
  <c r="V64" i="1" s="1"/>
  <c r="Z64" i="1" s="1"/>
  <c r="P64" i="1"/>
  <c r="T64" i="1" s="1"/>
  <c r="X64" i="1" s="1"/>
  <c r="P85" i="1"/>
  <c r="T85" i="1" s="1"/>
  <c r="X85" i="1" s="1"/>
  <c r="P78" i="1"/>
  <c r="T78" i="1" s="1"/>
  <c r="X78" i="1" s="1"/>
  <c r="Q36" i="1"/>
  <c r="U36" i="1" s="1"/>
  <c r="Y36" i="1" s="1"/>
  <c r="R71" i="1"/>
  <c r="V71" i="1" s="1"/>
  <c r="Z71" i="1" s="1"/>
  <c r="D166" i="1"/>
  <c r="Q56" i="1"/>
  <c r="U56" i="1" s="1"/>
  <c r="Y56" i="1" s="1"/>
  <c r="Q63" i="1"/>
  <c r="U63" i="1" s="1"/>
  <c r="Y63" i="1" s="1"/>
  <c r="Q77" i="1"/>
  <c r="U77" i="1" s="1"/>
  <c r="Y77" i="1" s="1"/>
  <c r="Q71" i="1"/>
  <c r="U71" i="1" s="1"/>
  <c r="Y71" i="1" s="1"/>
  <c r="P71" i="1"/>
  <c r="T71" i="1" s="1"/>
  <c r="X71" i="1" s="1"/>
  <c r="Q72" i="1"/>
  <c r="U72" i="1" s="1"/>
  <c r="Y72" i="1" s="1"/>
  <c r="Q37" i="1"/>
  <c r="U37" i="1" s="1"/>
  <c r="Y37" i="1" s="1"/>
  <c r="P36" i="1"/>
  <c r="T36" i="1" s="1"/>
  <c r="X36" i="1" s="1"/>
  <c r="Q29" i="1"/>
  <c r="U29" i="1" s="1"/>
  <c r="Y29" i="1" s="1"/>
  <c r="Q43" i="1"/>
  <c r="U43" i="1" s="1"/>
  <c r="Y43" i="1" s="1"/>
  <c r="Q78" i="1"/>
  <c r="U78" i="1" s="1"/>
  <c r="Y78" i="1" s="1"/>
  <c r="Q28" i="1"/>
  <c r="U28" i="1" s="1"/>
  <c r="Y28" i="1" s="1"/>
  <c r="R57" i="1"/>
  <c r="V57" i="1" s="1"/>
  <c r="Z57" i="1" s="1"/>
  <c r="R43" i="1"/>
  <c r="V43" i="1" s="1"/>
  <c r="Z43" i="1" s="1"/>
  <c r="R29" i="1"/>
  <c r="V29" i="1" s="1"/>
  <c r="Z29" i="1" s="1"/>
  <c r="Q44" i="1"/>
  <c r="U44" i="1" s="1"/>
  <c r="Y44" i="1" s="1"/>
  <c r="Q35" i="1"/>
  <c r="U35" i="1" s="1"/>
  <c r="Y35" i="1" s="1"/>
  <c r="Q51" i="1"/>
  <c r="U51" i="1" s="1"/>
  <c r="Y51" i="1" s="1"/>
  <c r="Q57" i="1"/>
  <c r="U57" i="1" s="1"/>
  <c r="Y57" i="1" s="1"/>
  <c r="Q42" i="1"/>
  <c r="U42" i="1" s="1"/>
  <c r="Y42" i="1" s="1"/>
  <c r="R36" i="1"/>
  <c r="V36" i="1" s="1"/>
  <c r="Z36" i="1" s="1"/>
  <c r="Q58" i="1"/>
  <c r="U58" i="1" s="1"/>
  <c r="Y58" i="1" s="1"/>
  <c r="P43" i="1"/>
  <c r="T43" i="1" s="1"/>
  <c r="X43" i="1" s="1"/>
  <c r="Q79" i="1"/>
  <c r="U79" i="1" s="1"/>
  <c r="Y79" i="1" s="1"/>
  <c r="Q50" i="1"/>
  <c r="U50" i="1" s="1"/>
  <c r="Y50" i="1" s="1"/>
  <c r="R50" i="1"/>
  <c r="V50" i="1" s="1"/>
  <c r="Z50" i="1" s="1"/>
  <c r="Q70" i="1"/>
  <c r="U70" i="1" s="1"/>
  <c r="Y70" i="1" s="1"/>
  <c r="Q84" i="1"/>
  <c r="U84" i="1" s="1"/>
  <c r="Y84" i="1" s="1"/>
  <c r="Q85" i="1"/>
  <c r="U85" i="1" s="1"/>
  <c r="Y85" i="1" s="1"/>
  <c r="Q65" i="1"/>
  <c r="U65" i="1" s="1"/>
  <c r="Y65" i="1" s="1"/>
  <c r="D168" i="1"/>
  <c r="D165" i="1"/>
  <c r="D161" i="1"/>
  <c r="D162" i="1" s="1"/>
  <c r="O177" i="1"/>
  <c r="O176" i="1"/>
  <c r="O161" i="1"/>
  <c r="D138" i="1"/>
  <c r="D95" i="1"/>
  <c r="D106" i="1" s="1"/>
  <c r="F18" i="1"/>
  <c r="D169" i="1" l="1"/>
  <c r="Q170" i="1"/>
  <c r="R170" i="1" s="1"/>
  <c r="Q168" i="1"/>
  <c r="R168" i="1" s="1"/>
  <c r="Q171" i="1"/>
  <c r="R171" i="1" s="1"/>
  <c r="Q169" i="1"/>
  <c r="R169" i="1" s="1"/>
  <c r="O162" i="1"/>
  <c r="V177" i="1"/>
  <c r="T177" i="1"/>
  <c r="D139" i="1"/>
  <c r="V162" i="1" s="1"/>
  <c r="D96" i="1"/>
  <c r="D107" i="1" s="1"/>
  <c r="V176" i="1"/>
  <c r="T176" i="1"/>
  <c r="H96" i="1" l="1"/>
  <c r="H94" i="1"/>
  <c r="H95" i="1"/>
  <c r="J93" i="1"/>
  <c r="Y162" i="1"/>
  <c r="O164" i="1"/>
  <c r="O165" i="1" s="1"/>
  <c r="R162" i="1"/>
  <c r="D164" i="1"/>
  <c r="H101" i="1" l="1"/>
  <c r="M170" i="1"/>
  <c r="M168" i="1"/>
  <c r="M171" i="1"/>
  <c r="M169" i="1"/>
  <c r="H97" i="1"/>
  <c r="H100" i="1" s="1"/>
  <c r="G102" i="1" s="1"/>
</calcChain>
</file>

<file path=xl/sharedStrings.xml><?xml version="1.0" encoding="utf-8"?>
<sst xmlns="http://schemas.openxmlformats.org/spreadsheetml/2006/main" count="461" uniqueCount="265">
  <si>
    <t>รายการคำนวณ</t>
  </si>
  <si>
    <t>พารามิเตอร์</t>
  </si>
  <si>
    <t>fc'</t>
  </si>
  <si>
    <t>ksc</t>
  </si>
  <si>
    <t>Es</t>
  </si>
  <si>
    <t>Ec</t>
  </si>
  <si>
    <t>w</t>
  </si>
  <si>
    <t>4270(w^1.5)sqrt(fc')</t>
  </si>
  <si>
    <t>fc</t>
  </si>
  <si>
    <t xml:space="preserve">0.375fc' </t>
  </si>
  <si>
    <t>n</t>
  </si>
  <si>
    <t>Es/Ec</t>
  </si>
  <si>
    <t>เหล็กเส้นกลมผิวเรียบ (RB)</t>
  </si>
  <si>
    <t>เหล็กข้ออ้อย (DB)</t>
  </si>
  <si>
    <t>fy</t>
  </si>
  <si>
    <t>SR-24</t>
  </si>
  <si>
    <t>SD-30</t>
  </si>
  <si>
    <t>fs</t>
  </si>
  <si>
    <t>0.5fy แต่ไม่เกิน 1700 ksc</t>
  </si>
  <si>
    <t>k</t>
  </si>
  <si>
    <t>1/(1 + fs/nfc)</t>
  </si>
  <si>
    <t>j</t>
  </si>
  <si>
    <t>1 - k/3</t>
  </si>
  <si>
    <t>R</t>
  </si>
  <si>
    <t>0.5fckj</t>
  </si>
  <si>
    <t>ออกแบบแผ่นพื้น</t>
  </si>
  <si>
    <t>ใช้เหล็กเสริม</t>
  </si>
  <si>
    <t>RB</t>
  </si>
  <si>
    <t>mm</t>
  </si>
  <si>
    <t>kg-m/m</t>
  </si>
  <si>
    <t>fs*j*d</t>
  </si>
  <si>
    <t>Asmin = 0.0025bt</t>
  </si>
  <si>
    <t>ดังนั้น ใช้</t>
  </si>
  <si>
    <t>Mc = Rbd^2</t>
  </si>
  <si>
    <t>C</t>
  </si>
  <si>
    <t>M = CwS^2 (kg-m/m)</t>
  </si>
  <si>
    <t>As = M/fsjd (cm^2/m)</t>
  </si>
  <si>
    <t>spacing (m)</t>
  </si>
  <si>
    <t>As ต่อ 1 เส้น</t>
  </si>
  <si>
    <t>cm^2</t>
  </si>
  <si>
    <t>S</t>
  </si>
  <si>
    <t>covering</t>
  </si>
  <si>
    <t>cm</t>
  </si>
  <si>
    <t>LL</t>
  </si>
  <si>
    <t>kg/m^2</t>
  </si>
  <si>
    <t>L</t>
  </si>
  <si>
    <t>SL</t>
  </si>
  <si>
    <t>m</t>
  </si>
  <si>
    <t>กำหนดความหนา (t)</t>
  </si>
  <si>
    <t xml:space="preserve">คิดความกว้างพื้น (b) </t>
  </si>
  <si>
    <t>m = S/L</t>
  </si>
  <si>
    <t>DL = 2400(ความหนา)</t>
  </si>
  <si>
    <t>w = DL + LL + SL</t>
  </si>
  <si>
    <t>d = t - covering</t>
  </si>
  <si>
    <t>นน.ลงคานด้าน S</t>
  </si>
  <si>
    <t>T/m</t>
  </si>
  <si>
    <t>(wS/3)</t>
  </si>
  <si>
    <t>นน.ลงคานด้าน L</t>
  </si>
  <si>
    <t>[(ws/3) * (3-m^2)/2]</t>
  </si>
  <si>
    <t>ออกแบบคาน</t>
  </si>
  <si>
    <t>ใช้เหล็กเสริมหลักแบบ</t>
  </si>
  <si>
    <t>M</t>
  </si>
  <si>
    <t>T-m</t>
  </si>
  <si>
    <t>V</t>
  </si>
  <si>
    <t>T</t>
  </si>
  <si>
    <t>M'</t>
  </si>
  <si>
    <t>M - Mc</t>
  </si>
  <si>
    <t>v</t>
  </si>
  <si>
    <t>V/(bd)</t>
  </si>
  <si>
    <t>fs'</t>
  </si>
  <si>
    <t>2fs[k - (d'/d)]/(1 - k)</t>
  </si>
  <si>
    <t>fs' ต้อง &lt;= fs</t>
  </si>
  <si>
    <t>V'</t>
  </si>
  <si>
    <t>kg</t>
  </si>
  <si>
    <t>(v - vc)(bd) ถ้า v &gt; vc</t>
  </si>
  <si>
    <t>As1</t>
  </si>
  <si>
    <t>sq.cm</t>
  </si>
  <si>
    <t>Mc/(fsjd)</t>
  </si>
  <si>
    <t>ใช้เหล็กปลอก RB ขนาด</t>
  </si>
  <si>
    <t>ปลอก</t>
  </si>
  <si>
    <t>As2</t>
  </si>
  <si>
    <t>M'/[fs(d - d')]</t>
  </si>
  <si>
    <t>Av ต่อ 1 ปลอก เท่ากับ 2As</t>
  </si>
  <si>
    <t>คานขนาด</t>
  </si>
  <si>
    <t>ดังนั้น Av เท่ากับ</t>
  </si>
  <si>
    <t>h</t>
  </si>
  <si>
    <t>Ast</t>
  </si>
  <si>
    <t>Singly : M/(fsjd), Doubly : As1 + As2</t>
  </si>
  <si>
    <t>ระยะเรียง เลือกค่าน้อยมาใช้</t>
  </si>
  <si>
    <t>covering. d'</t>
  </si>
  <si>
    <t>Asc</t>
  </si>
  <si>
    <t>M'/[fs'(d - d')]</t>
  </si>
  <si>
    <t>Av/0.0015b</t>
  </si>
  <si>
    <t>ถ้า v &lt;= 0.795sqrt(fc') ใช้ d/2 แต่ถ้า v &gt; 0.795sqrt(fc') ใช้ d/4</t>
  </si>
  <si>
    <t>d</t>
  </si>
  <si>
    <t>Avfvd/V'</t>
  </si>
  <si>
    <t>ถ้า v &gt; vc</t>
  </si>
  <si>
    <t>d-d'</t>
  </si>
  <si>
    <t>d'/d</t>
  </si>
  <si>
    <t>fsjd</t>
  </si>
  <si>
    <t>sq.cm/T-m</t>
  </si>
  <si>
    <t>Mc</t>
  </si>
  <si>
    <t xml:space="preserve">fv </t>
  </si>
  <si>
    <t>vc</t>
  </si>
  <si>
    <t>0.29sqrt(fc')</t>
  </si>
  <si>
    <t>0.795sqrt(fc')</t>
  </si>
  <si>
    <t>ค่าที่ใช้กำหนดระยะเรียงว่าจะใช้ d/2 หรือ d/4</t>
  </si>
  <si>
    <t>1.32sqrt(fc')</t>
  </si>
  <si>
    <t>ขีดจำกัดของขนาดหน้าตัดคานในการรับแรงเฉือน</t>
  </si>
  <si>
    <t>ออกแบบเสาสี่เหลี่ยม (แบบรับแรงตามแนวแกนเท่านั้น)</t>
  </si>
  <si>
    <t>จำนวนเส้น</t>
  </si>
  <si>
    <t xml:space="preserve">เหล็กยืนใช้ </t>
  </si>
  <si>
    <t>DB</t>
  </si>
  <si>
    <t>ถ้าใช้เหล็กยืน, M</t>
  </si>
  <si>
    <t>คำนวณ</t>
  </si>
  <si>
    <t>เลือกใช้</t>
  </si>
  <si>
    <t>As จริง</t>
  </si>
  <si>
    <t>pg = As/Ag</t>
  </si>
  <si>
    <t>ด้ังนั้น fs</t>
  </si>
  <si>
    <t>As/เส้น</t>
  </si>
  <si>
    <t>ด้านแคบสุดของเสา ,t</t>
  </si>
  <si>
    <t>อีกด้านหนึ่งของเสา</t>
  </si>
  <si>
    <t>ความสูงเสา , h</t>
  </si>
  <si>
    <t>P</t>
  </si>
  <si>
    <t>ถ้าใช้เหล็กปลอก, S แบบ RB, M</t>
  </si>
  <si>
    <t>16M</t>
  </si>
  <si>
    <t>48S</t>
  </si>
  <si>
    <t>ด้านแคบ</t>
  </si>
  <si>
    <t>ใช้ระยะเรียง &lt;=</t>
  </si>
  <si>
    <t>h/t</t>
  </si>
  <si>
    <t>ถ้า เสาสั้น R = 1, ถ้าเสายาว R = 1.07 - 0.008(h/0.3t)</t>
  </si>
  <si>
    <t>Ag</t>
  </si>
  <si>
    <t>พื้นที่หน้าตัดเสา</t>
  </si>
  <si>
    <t>P/R</t>
  </si>
  <si>
    <t>As min = 0.01Ag</t>
  </si>
  <si>
    <t xml:space="preserve">As คำนวณ </t>
  </si>
  <si>
    <t>[(P/R) - 0.2125Agfc']/(0.85fs)</t>
  </si>
  <si>
    <t>As ที่ต้องการ</t>
  </si>
  <si>
    <t>ออกแบบฐานรากวางบนดิน (สีเหลี่ยมจัตุรัสรับแรงตามแนวแกนเท่านั้น)</t>
  </si>
  <si>
    <t>เลือกใช้เหล็กเสริมหลัก</t>
  </si>
  <si>
    <t>ดัังนั้น</t>
  </si>
  <si>
    <t xml:space="preserve">vcb </t>
  </si>
  <si>
    <t>หน่วยแรงเฉือนแบบคานที่ยอมให้ = 0.29sqrt(fc')</t>
  </si>
  <si>
    <t>ksm</t>
  </si>
  <si>
    <t>vcp</t>
  </si>
  <si>
    <t>หน่่วยแรงเฉือนแบบเจาะทะลุที่ยอมให้ = 0.53sqrt(fc')</t>
  </si>
  <si>
    <t>ตอม่อจัตุรัสขนาด, c</t>
  </si>
  <si>
    <t>ความสูงตอม่อ</t>
  </si>
  <si>
    <t>แรงปฏิกิริยา</t>
  </si>
  <si>
    <t>น้ำหนักตอม่อ</t>
  </si>
  <si>
    <t>2.4(c^2)(ความสูงตอม่อ)</t>
  </si>
  <si>
    <t>รวมน้ำหนักถ่ายจากตอม่อ</t>
  </si>
  <si>
    <t>เลือกใช้ d</t>
  </si>
  <si>
    <t xml:space="preserve">ประเมินน้ำหนักฐานราก </t>
  </si>
  <si>
    <t>% ของน้ำหนักถ่ายจากตอม่อ</t>
  </si>
  <si>
    <t>ระยะหุ้มเหล็กเสริมฐานราก</t>
  </si>
  <si>
    <t>น้ำหนักฐานรากประเมิน</t>
  </si>
  <si>
    <t>ดังนั้น ความหนาฐานราก, h</t>
  </si>
  <si>
    <t>น้ำหนักฐานรากจริง</t>
  </si>
  <si>
    <t>2.4(B^2)(h)</t>
  </si>
  <si>
    <t>รวมน้ำหนักออกแบบประเมิน, Pe</t>
  </si>
  <si>
    <t>น้ำหนักถ่ายจากตอม่อ + น้ำหนักฐานรากประเมิน</t>
  </si>
  <si>
    <t>น้ำหนักถ่ายจากตอม่อ + น้ำหนักฐานรากจริง</t>
  </si>
  <si>
    <t>น้ำหนักปลอดภัย</t>
  </si>
  <si>
    <t>กำลังแบกทานปลอดภัยของดิน(B^2)</t>
  </si>
  <si>
    <t>T/sq.m</t>
  </si>
  <si>
    <t>ขนาดฐานรากคำนวณ</t>
  </si>
  <si>
    <t>เลือกใช้ขนาด, B</t>
  </si>
  <si>
    <t>ต้อง &gt;= ขนาดฐานรากคำนวณ</t>
  </si>
  <si>
    <t>หาจำนวนเหล็กเสริม</t>
  </si>
  <si>
    <t>กำลังแบกทานประเมิน, qe</t>
  </si>
  <si>
    <t>Pe/B^2</t>
  </si>
  <si>
    <t>แปลงหน่วย T เป็น kg</t>
  </si>
  <si>
    <t xml:space="preserve">P/B^2 </t>
  </si>
  <si>
    <t>V ที่หน้าตัดวิกฤต</t>
  </si>
  <si>
    <t>qeB(B-c)/2</t>
  </si>
  <si>
    <t>M ที่หน้าตัดวิกฤต</t>
  </si>
  <si>
    <t>kg-m</t>
  </si>
  <si>
    <t>V(B-c)/4</t>
  </si>
  <si>
    <t>โมเมนต์ปลอดภัยที่คอนกรีตรับได้</t>
  </si>
  <si>
    <t>RBd^2</t>
  </si>
  <si>
    <t>d เนื่องจากโมเมนต์</t>
  </si>
  <si>
    <t>sqrt(M/RB)</t>
  </si>
  <si>
    <t>M/fsjd</t>
  </si>
  <si>
    <t>d เนื่องจากแรงเฉือนแบบคาน</t>
  </si>
  <si>
    <t>qe(B-c)/[2(vcb + qe)]</t>
  </si>
  <si>
    <t>1.33As ที่ต้องการ</t>
  </si>
  <si>
    <t>ข้อแนะนำจากสมาคมคอนกรีตแห่งประเทศไทย</t>
  </si>
  <si>
    <t>k1 = 4vcp + qe</t>
  </si>
  <si>
    <t>k2 = 2c(2vcp + qe)</t>
  </si>
  <si>
    <t>kg/m</t>
  </si>
  <si>
    <t>ขนาด</t>
  </si>
  <si>
    <t>As รวม</t>
  </si>
  <si>
    <t>Eo รวม</t>
  </si>
  <si>
    <t>u ที่เกิดขึ้น</t>
  </si>
  <si>
    <t>สถานะ</t>
  </si>
  <si>
    <t>ระยะเรียง</t>
  </si>
  <si>
    <t>As</t>
  </si>
  <si>
    <t>Eo</t>
  </si>
  <si>
    <t>u ที่ยอมให้</t>
  </si>
  <si>
    <t>k3 = qe(c^2 - B^2)</t>
  </si>
  <si>
    <t>d เนื่องจากแรงเฉือนแบบเจาะทะลุ</t>
  </si>
  <si>
    <t>(-k2 + sqrt(k2^2 - 4k1k3))/2k1</t>
  </si>
  <si>
    <t>u = V/Eojd</t>
  </si>
  <si>
    <t>ข้อแนะนำ : ไม่ควรเกิน 0.30 m</t>
  </si>
  <si>
    <t>u ที่ยอมให้ = 3.23sqrt(fc')/D &lt;= 35 ksc (เหล็กข้ออ้อย)</t>
  </si>
  <si>
    <t>u &lt;= u ที่ยอมให้</t>
  </si>
  <si>
    <t>ตรวจสอบหน่วยแรงเฉือน</t>
  </si>
  <si>
    <t>v แบบคาน ที่หน้าตัดวิกฤต</t>
  </si>
  <si>
    <t>v แบบเจาะทะลุ ที่หน้าตัดวิกฤต</t>
  </si>
  <si>
    <t>การเสริมเหล็กปลอกเสาเพื่อต้านทานการสั่นสะเทือนของแรงแผ่นดินไหว</t>
  </si>
  <si>
    <t>8M</t>
  </si>
  <si>
    <t>c2/2</t>
  </si>
  <si>
    <t>ค่าคงที่</t>
  </si>
  <si>
    <t>So</t>
  </si>
  <si>
    <t>ขนาดเหล็กแกนเสา, M</t>
  </si>
  <si>
    <t>H/6</t>
  </si>
  <si>
    <t>c1</t>
  </si>
  <si>
    <t>ใช้ระยะ &gt;=</t>
  </si>
  <si>
    <t>Lo</t>
  </si>
  <si>
    <t>2So</t>
  </si>
  <si>
    <t>&lt;=</t>
  </si>
  <si>
    <t>H - 2Lo</t>
  </si>
  <si>
    <t>0.5So</t>
  </si>
  <si>
    <t>Av = 3.5c1S/fy , sq.cm</t>
  </si>
  <si>
    <t>As ต่อเส้น</t>
  </si>
  <si>
    <t>b</t>
  </si>
  <si>
    <t>T/m^3</t>
  </si>
  <si>
    <t>As Use (cm^2/m) &lt;มากกว่าหรือเท่ากับ Asmin&gt;</t>
  </si>
  <si>
    <t>#1</t>
  </si>
  <si>
    <t>#3</t>
  </si>
  <si>
    <t>#4</t>
  </si>
  <si>
    <t>#6</t>
  </si>
  <si>
    <t>#2 = #5</t>
  </si>
  <si>
    <t>กรณีที่ 1 : ช่วงพื้นภายใน</t>
  </si>
  <si>
    <t>กรณีที่ 2 : ไม่ต่อเนื่องกันด้านเดียว (ด้าน L)</t>
  </si>
  <si>
    <t>กรณีที่ 2 : ไม่ต่อเนื่องกันด้านเดียว (ด้าน S)</t>
  </si>
  <si>
    <t>กรณีที่ 3 : ไม่ต่อเนื่องกันสองด้าน (ด้าน L)</t>
  </si>
  <si>
    <t xml:space="preserve">กรณีที่ 3 : ไม่ต่อเนื่องกันสองด้าน (ด้าน S และด้าน L) </t>
  </si>
  <si>
    <t xml:space="preserve">กรณีที่ 3 : ไม่ต่อเนื่องกันสองด้าน (ด้าน S) </t>
  </si>
  <si>
    <t>กรณีที่ 4 : ไม่ต่อเนื่องกันสามด้าน (ด้าน L ต่อเนื่อง)</t>
  </si>
  <si>
    <t>กรณีที่ 4 : ไม่ต่อเนื่องกันสามด้าน (ด้าน S ต่อเนื่อง)</t>
  </si>
  <si>
    <t>กรณีที่ 5 : ไม่ต่อเนื่องกันทั้งสี่ด้าน</t>
  </si>
  <si>
    <t>kg-m/cm^2</t>
  </si>
  <si>
    <t>wS^2</t>
  </si>
  <si>
    <t>มาตรฐาน วสท. 011007-19 ข้อ 21.9.1</t>
  </si>
  <si>
    <t>มาตรฐาน วสท. 011007-19 ข้อ 7.8.1 (1)</t>
  </si>
  <si>
    <t>กำลังแบกทานปลอดภัยของดิน, q</t>
  </si>
  <si>
    <t>sqrt(P/q)</t>
  </si>
  <si>
    <t>น้ำหนักออกแบบจริง, Pdesign</t>
  </si>
  <si>
    <t>กำลังแบกทานใช้งาน, qdesign</t>
  </si>
  <si>
    <t>(qdesign)B(B-c)/2</t>
  </si>
  <si>
    <t>(qdesign/d)[(B - c - 2d)/2]</t>
  </si>
  <si>
    <t>qdesign[B^2 - (d+c)^2] / [4(d + c)d]</t>
  </si>
  <si>
    <t>แนะนำ ถ้า d ที่คำนวณได้ &lt;= d ขั้นต่ำตามมาตรฐานคือ 0.15 ใช้ d = 0.15 แต่ถ้า &gt; d ขั้นต่ำ ให้ปัดเป็นเลขลงตัวทศนิยมตำแหน่งที่หนึ่งแล้วบวกเพิ่ม 0.05</t>
  </si>
  <si>
    <t>d ขั้นต่ำตามมาตรฐาน</t>
  </si>
  <si>
    <t>ขนาเหล็กปลอกเสา, B</t>
  </si>
  <si>
    <t>24B</t>
  </si>
  <si>
    <t>มิติที่มากที่สุดของหน้าตัดเสา, c1</t>
  </si>
  <si>
    <t>มิติที่เล็กที่สุดของหน้าตัดเสา, c2</t>
  </si>
  <si>
    <t>เลือกค่าน้อย</t>
  </si>
  <si>
    <t>เลือกค่ามาก</t>
  </si>
  <si>
    <t>ใช้ระยะเรียง, S &lt;=</t>
  </si>
  <si>
    <t>ความสูงเสาจากพื้นถึงใต้คาน, Hc</t>
  </si>
  <si>
    <t>update 3/06/2565 by Dr.Sorakarn Sritong-on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</si>
</sst>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#,##0.000"/>
    <numFmt numFmtId="189" formatCode="0.0"/>
    <numFmt numFmtId="190" formatCode="0.0000"/>
  </numFmts>
  <fonts count="34">
    <font>
      <sz val="10"/>
      <color rgb="FF000000"/>
      <name val="Arial"/>
    </font>
    <font>
      <b/>
      <i/>
      <sz val="12"/>
      <name val="Arial"/>
    </font>
    <font>
      <sz val="10"/>
      <name val="Arial"/>
    </font>
    <font>
      <i/>
      <sz val="10"/>
      <name val="Arial"/>
    </font>
    <font>
      <b/>
      <sz val="10"/>
      <name val="Arial"/>
    </font>
    <font>
      <sz val="10"/>
      <color rgb="FFFF0000"/>
      <name val="Arial"/>
    </font>
    <font>
      <sz val="10"/>
      <color rgb="FFFF0000"/>
      <name val="Arial"/>
    </font>
    <font>
      <sz val="10"/>
      <name val="Arial"/>
    </font>
    <font>
      <b/>
      <sz val="10"/>
      <name val="Arial"/>
    </font>
    <font>
      <sz val="11"/>
      <name val="Tahoma"/>
    </font>
    <font>
      <sz val="11"/>
      <color rgb="FF000000"/>
      <name val="Tahoma"/>
    </font>
    <font>
      <b/>
      <sz val="11"/>
      <color rgb="FF000000"/>
      <name val="Tahoma"/>
    </font>
    <font>
      <b/>
      <sz val="11"/>
      <color rgb="FFC00000"/>
      <name val="Tahoma"/>
    </font>
    <font>
      <sz val="11"/>
      <color rgb="FFFF0000"/>
      <name val="Tahoma"/>
    </font>
    <font>
      <sz val="11"/>
      <color rgb="FFC00000"/>
      <name val="Tahoma"/>
    </font>
    <font>
      <sz val="10"/>
      <color rgb="FF000000"/>
      <name val="Arial"/>
    </font>
    <font>
      <sz val="11"/>
      <color rgb="FF000000"/>
      <name val="Inconsolata"/>
    </font>
    <font>
      <i/>
      <sz val="10"/>
      <color rgb="FF000000"/>
      <name val="Arial"/>
    </font>
    <font>
      <sz val="10"/>
      <color rgb="FF000000"/>
      <name val="Inconsolata"/>
    </font>
    <font>
      <sz val="11"/>
      <color rgb="FF7E3794"/>
      <name val="Inconsolata"/>
    </font>
    <font>
      <b/>
      <sz val="10"/>
      <color rgb="FF000000"/>
      <name val="Inconsolata"/>
    </font>
    <font>
      <b/>
      <sz val="10"/>
      <name val="Arial"/>
    </font>
    <font>
      <sz val="10"/>
      <name val="Arial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i/>
      <sz val="10"/>
      <color theme="9" tint="-0.499984740745262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i/>
      <sz val="10"/>
      <color rgb="FF00B05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11" fontId="4" fillId="2" borderId="0" xfId="0" applyNumberFormat="1" applyFont="1" applyFill="1" applyAlignment="1"/>
    <xf numFmtId="187" fontId="2" fillId="2" borderId="0" xfId="0" applyNumberFormat="1" applyFont="1" applyFill="1"/>
    <xf numFmtId="0" fontId="2" fillId="2" borderId="0" xfId="0" applyFont="1" applyFill="1"/>
    <xf numFmtId="188" fontId="2" fillId="2" borderId="0" xfId="0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187" fontId="2" fillId="0" borderId="0" xfId="0" applyNumberFormat="1" applyFont="1"/>
    <xf numFmtId="11" fontId="2" fillId="2" borderId="0" xfId="0" applyNumberFormat="1" applyFont="1" applyFill="1" applyAlignment="1">
      <alignment horizontal="center"/>
    </xf>
    <xf numFmtId="11" fontId="4" fillId="2" borderId="1" xfId="0" applyNumberFormat="1" applyFont="1" applyFill="1" applyBorder="1" applyAlignment="1">
      <alignment horizontal="center"/>
    </xf>
    <xf numFmtId="11" fontId="4" fillId="2" borderId="3" xfId="0" applyNumberFormat="1" applyFont="1" applyFill="1" applyBorder="1" applyAlignment="1">
      <alignment horizontal="center"/>
    </xf>
    <xf numFmtId="11" fontId="4" fillId="2" borderId="0" xfId="0" applyNumberFormat="1" applyFont="1" applyFill="1" applyAlignment="1">
      <alignment horizontal="center"/>
    </xf>
    <xf numFmtId="187" fontId="2" fillId="2" borderId="0" xfId="0" applyNumberFormat="1" applyFont="1" applyFill="1" applyAlignment="1">
      <alignment horizontal="center"/>
    </xf>
    <xf numFmtId="2" fontId="2" fillId="0" borderId="0" xfId="0" applyNumberFormat="1" applyFont="1"/>
    <xf numFmtId="187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88" fontId="6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0" xfId="0" applyFont="1" applyFill="1" applyAlignment="1"/>
    <xf numFmtId="0" fontId="7" fillId="0" borderId="0" xfId="0" applyFont="1"/>
    <xf numFmtId="11" fontId="8" fillId="2" borderId="0" xfId="0" applyNumberFormat="1" applyFont="1" applyFill="1" applyAlignment="1"/>
    <xf numFmtId="11" fontId="7" fillId="2" borderId="0" xfId="0" applyNumberFormat="1" applyFont="1" applyFill="1" applyAlignment="1">
      <alignment horizontal="center"/>
    </xf>
    <xf numFmtId="0" fontId="7" fillId="2" borderId="0" xfId="0" applyFont="1" applyFill="1"/>
    <xf numFmtId="11" fontId="8" fillId="2" borderId="9" xfId="0" applyNumberFormat="1" applyFont="1" applyFill="1" applyBorder="1" applyAlignment="1">
      <alignment horizontal="center"/>
    </xf>
    <xf numFmtId="11" fontId="8" fillId="2" borderId="11" xfId="0" applyNumberFormat="1" applyFont="1" applyFill="1" applyBorder="1" applyAlignment="1">
      <alignment horizontal="center"/>
    </xf>
    <xf numFmtId="11" fontId="8" fillId="2" borderId="0" xfId="0" applyNumberFormat="1" applyFont="1" applyFill="1" applyAlignment="1">
      <alignment horizontal="center"/>
    </xf>
    <xf numFmtId="187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89" fontId="10" fillId="0" borderId="0" xfId="0" applyNumberFormat="1" applyFont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7" fillId="2" borderId="0" xfId="0" applyFont="1" applyFill="1" applyAlignment="1"/>
    <xf numFmtId="0" fontId="10" fillId="0" borderId="0" xfId="0" applyFont="1" applyAlignment="1"/>
    <xf numFmtId="187" fontId="10" fillId="0" borderId="0" xfId="0" applyNumberFormat="1" applyFont="1" applyAlignment="1">
      <alignment horizontal="center"/>
    </xf>
    <xf numFmtId="187" fontId="4" fillId="0" borderId="0" xfId="0" applyNumberFormat="1" applyFont="1"/>
    <xf numFmtId="0" fontId="10" fillId="0" borderId="0" xfId="0" applyFont="1" applyAlignment="1"/>
    <xf numFmtId="187" fontId="12" fillId="0" borderId="0" xfId="0" applyNumberFormat="1" applyFont="1" applyAlignment="1">
      <alignment horizontal="center"/>
    </xf>
    <xf numFmtId="0" fontId="13" fillId="0" borderId="0" xfId="0" applyFont="1" applyAlignment="1"/>
    <xf numFmtId="187" fontId="14" fillId="0" borderId="0" xfId="0" applyNumberFormat="1" applyFont="1" applyAlignment="1">
      <alignment horizontal="center"/>
    </xf>
    <xf numFmtId="11" fontId="8" fillId="2" borderId="12" xfId="0" applyNumberFormat="1" applyFont="1" applyFill="1" applyBorder="1" applyAlignment="1">
      <alignment horizontal="center"/>
    </xf>
    <xf numFmtId="11" fontId="8" fillId="2" borderId="3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1" fontId="8" fillId="2" borderId="18" xfId="0" applyNumberFormat="1" applyFont="1" applyFill="1" applyBorder="1" applyAlignment="1">
      <alignment horizontal="center"/>
    </xf>
    <xf numFmtId="187" fontId="9" fillId="0" borderId="0" xfId="0" applyNumberFormat="1" applyFont="1" applyAlignment="1"/>
    <xf numFmtId="11" fontId="8" fillId="2" borderId="19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0" xfId="0" applyFont="1" applyAlignment="1"/>
    <xf numFmtId="4" fontId="8" fillId="2" borderId="12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188" fontId="5" fillId="2" borderId="0" xfId="0" applyNumberFormat="1" applyFont="1" applyFill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11" fontId="8" fillId="2" borderId="2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3" borderId="0" xfId="0" applyFont="1" applyFill="1" applyAlignment="1"/>
    <xf numFmtId="187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187" fontId="16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/>
    <xf numFmtId="187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right"/>
    </xf>
    <xf numFmtId="189" fontId="2" fillId="4" borderId="0" xfId="0" applyNumberFormat="1" applyFont="1" applyFill="1" applyAlignment="1">
      <alignment horizontal="center"/>
    </xf>
    <xf numFmtId="187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87" fontId="2" fillId="3" borderId="0" xfId="0" applyNumberFormat="1" applyFont="1" applyFill="1" applyAlignment="1"/>
    <xf numFmtId="189" fontId="2" fillId="0" borderId="0" xfId="0" applyNumberFormat="1" applyFont="1"/>
    <xf numFmtId="0" fontId="2" fillId="0" borderId="0" xfId="0" applyFont="1" applyAlignment="1">
      <alignment horizontal="center"/>
    </xf>
    <xf numFmtId="187" fontId="2" fillId="5" borderId="0" xfId="0" applyNumberFormat="1" applyFont="1" applyFill="1" applyAlignment="1">
      <alignment horizontal="center"/>
    </xf>
    <xf numFmtId="1" fontId="2" fillId="0" borderId="0" xfId="0" applyNumberFormat="1" applyFont="1"/>
    <xf numFmtId="0" fontId="15" fillId="2" borderId="0" xfId="0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15" fillId="2" borderId="0" xfId="0" applyFont="1" applyFill="1" applyAlignment="1"/>
    <xf numFmtId="1" fontId="15" fillId="2" borderId="0" xfId="0" applyNumberFormat="1" applyFont="1" applyFill="1" applyAlignment="1"/>
    <xf numFmtId="187" fontId="15" fillId="2" borderId="0" xfId="0" applyNumberFormat="1" applyFont="1" applyFill="1" applyAlignment="1"/>
    <xf numFmtId="0" fontId="17" fillId="2" borderId="0" xfId="0" applyFont="1" applyFill="1" applyAlignment="1"/>
    <xf numFmtId="2" fontId="15" fillId="2" borderId="0" xfId="0" applyNumberFormat="1" applyFont="1" applyFill="1" applyAlignment="1"/>
    <xf numFmtId="2" fontId="15" fillId="3" borderId="0" xfId="0" applyNumberFormat="1" applyFont="1" applyFill="1" applyAlignment="1"/>
    <xf numFmtId="0" fontId="18" fillId="2" borderId="0" xfId="0" applyFont="1" applyFill="1"/>
    <xf numFmtId="0" fontId="19" fillId="2" borderId="0" xfId="0" applyFont="1" applyFill="1"/>
    <xf numFmtId="0" fontId="4" fillId="0" borderId="0" xfId="0" applyFont="1" applyAlignment="1">
      <alignment horizontal="center"/>
    </xf>
    <xf numFmtId="2" fontId="2" fillId="4" borderId="0" xfId="0" applyNumberFormat="1" applyFont="1" applyFill="1"/>
    <xf numFmtId="1" fontId="2" fillId="2" borderId="0" xfId="0" applyNumberFormat="1" applyFont="1" applyFill="1"/>
    <xf numFmtId="187" fontId="2" fillId="4" borderId="0" xfId="0" applyNumberFormat="1" applyFont="1" applyFill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187" fontId="2" fillId="4" borderId="0" xfId="0" applyNumberFormat="1" applyFont="1" applyFill="1" applyAlignment="1"/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187" fontId="2" fillId="0" borderId="0" xfId="0" applyNumberFormat="1" applyFont="1" applyAlignment="1">
      <alignment horizontal="right"/>
    </xf>
    <xf numFmtId="187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0" fontId="21" fillId="0" borderId="0" xfId="0" applyFont="1"/>
    <xf numFmtId="187" fontId="21" fillId="0" borderId="0" xfId="0" applyNumberFormat="1" applyFont="1" applyAlignment="1">
      <alignment horizontal="center"/>
    </xf>
    <xf numFmtId="0" fontId="22" fillId="0" borderId="0" xfId="0" applyFont="1"/>
    <xf numFmtId="1" fontId="2" fillId="3" borderId="0" xfId="0" applyNumberFormat="1" applyFont="1" applyFill="1" applyAlignment="1"/>
    <xf numFmtId="2" fontId="2" fillId="5" borderId="0" xfId="0" applyNumberFormat="1" applyFont="1" applyFill="1" applyAlignment="1">
      <alignment horizontal="center"/>
    </xf>
    <xf numFmtId="0" fontId="0" fillId="0" borderId="0" xfId="0" applyFont="1" applyAlignment="1"/>
    <xf numFmtId="0" fontId="23" fillId="0" borderId="0" xfId="0" applyFont="1" applyAlignment="1"/>
    <xf numFmtId="0" fontId="23" fillId="3" borderId="0" xfId="0" applyFont="1" applyFill="1" applyAlignment="1"/>
    <xf numFmtId="11" fontId="24" fillId="2" borderId="0" xfId="0" applyNumberFormat="1" applyFont="1" applyFill="1" applyAlignment="1"/>
    <xf numFmtId="0" fontId="24" fillId="0" borderId="0" xfId="0" applyFont="1" applyAlignment="1"/>
    <xf numFmtId="0" fontId="24" fillId="3" borderId="0" xfId="0" applyFont="1" applyFill="1" applyAlignment="1"/>
    <xf numFmtId="0" fontId="25" fillId="0" borderId="0" xfId="0" applyFont="1" applyAlignment="1"/>
    <xf numFmtId="0" fontId="23" fillId="2" borderId="0" xfId="0" applyFont="1" applyFill="1" applyAlignment="1"/>
    <xf numFmtId="0" fontId="23" fillId="2" borderId="0" xfId="0" applyFont="1" applyFill="1"/>
    <xf numFmtId="11" fontId="8" fillId="2" borderId="13" xfId="0" applyNumberFormat="1" applyFont="1" applyFill="1" applyBorder="1" applyAlignment="1">
      <alignment horizontal="center"/>
    </xf>
    <xf numFmtId="11" fontId="8" fillId="2" borderId="5" xfId="0" applyNumberFormat="1" applyFont="1" applyFill="1" applyBorder="1" applyAlignment="1">
      <alignment horizontal="center"/>
    </xf>
    <xf numFmtId="11" fontId="26" fillId="2" borderId="0" xfId="0" applyNumberFormat="1" applyFont="1" applyFill="1" applyAlignment="1">
      <alignment horizontal="center"/>
    </xf>
    <xf numFmtId="188" fontId="27" fillId="2" borderId="2" xfId="0" applyNumberFormat="1" applyFont="1" applyFill="1" applyBorder="1" applyAlignment="1">
      <alignment horizontal="center"/>
    </xf>
    <xf numFmtId="0" fontId="0" fillId="0" borderId="26" xfId="0" applyFont="1" applyBorder="1" applyAlignment="1"/>
    <xf numFmtId="0" fontId="0" fillId="0" borderId="28" xfId="0" applyFont="1" applyBorder="1" applyAlignment="1"/>
    <xf numFmtId="0" fontId="0" fillId="0" borderId="31" xfId="0" applyFont="1" applyBorder="1" applyAlignment="1"/>
    <xf numFmtId="0" fontId="0" fillId="0" borderId="33" xfId="0" applyFont="1" applyBorder="1" applyAlignment="1"/>
    <xf numFmtId="0" fontId="28" fillId="0" borderId="0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9" xfId="0" applyFont="1" applyBorder="1" applyAlignment="1"/>
    <xf numFmtId="0" fontId="27" fillId="0" borderId="30" xfId="0" applyFont="1" applyBorder="1" applyAlignment="1">
      <alignment horizontal="right"/>
    </xf>
    <xf numFmtId="0" fontId="27" fillId="0" borderId="32" xfId="0" applyFont="1" applyBorder="1" applyAlignment="1">
      <alignment horizontal="center"/>
    </xf>
    <xf numFmtId="187" fontId="27" fillId="2" borderId="4" xfId="0" applyNumberFormat="1" applyFont="1" applyFill="1" applyBorder="1" applyAlignment="1">
      <alignment horizontal="left"/>
    </xf>
    <xf numFmtId="187" fontId="27" fillId="2" borderId="7" xfId="0" applyNumberFormat="1" applyFont="1" applyFill="1" applyBorder="1" applyAlignment="1">
      <alignment horizontal="center"/>
    </xf>
    <xf numFmtId="187" fontId="27" fillId="2" borderId="5" xfId="0" applyNumberFormat="1" applyFont="1" applyFill="1" applyBorder="1" applyAlignment="1">
      <alignment horizontal="right"/>
    </xf>
    <xf numFmtId="2" fontId="27" fillId="2" borderId="4" xfId="0" applyNumberFormat="1" applyFont="1" applyFill="1" applyBorder="1" applyAlignment="1">
      <alignment horizontal="left"/>
    </xf>
    <xf numFmtId="4" fontId="27" fillId="2" borderId="2" xfId="0" applyNumberFormat="1" applyFont="1" applyFill="1" applyBorder="1" applyAlignment="1">
      <alignment horizontal="center"/>
    </xf>
    <xf numFmtId="2" fontId="27" fillId="2" borderId="5" xfId="0" applyNumberFormat="1" applyFont="1" applyFill="1" applyBorder="1" applyAlignment="1">
      <alignment horizontal="right"/>
    </xf>
    <xf numFmtId="4" fontId="27" fillId="2" borderId="7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>
      <alignment horizontal="left"/>
    </xf>
    <xf numFmtId="4" fontId="27" fillId="2" borderId="5" xfId="0" applyNumberFormat="1" applyFont="1" applyFill="1" applyBorder="1" applyAlignment="1">
      <alignment horizontal="right"/>
    </xf>
    <xf numFmtId="188" fontId="27" fillId="2" borderId="4" xfId="0" applyNumberFormat="1" applyFont="1" applyFill="1" applyBorder="1" applyAlignment="1">
      <alignment horizontal="left"/>
    </xf>
    <xf numFmtId="188" fontId="27" fillId="2" borderId="5" xfId="0" applyNumberFormat="1" applyFont="1" applyFill="1" applyBorder="1" applyAlignment="1">
      <alignment horizontal="right"/>
    </xf>
    <xf numFmtId="188" fontId="27" fillId="2" borderId="7" xfId="0" applyNumberFormat="1" applyFont="1" applyFill="1" applyBorder="1" applyAlignment="1">
      <alignment horizontal="center"/>
    </xf>
    <xf numFmtId="188" fontId="27" fillId="2" borderId="10" xfId="0" applyNumberFormat="1" applyFont="1" applyFill="1" applyBorder="1" applyAlignment="1">
      <alignment horizontal="center"/>
    </xf>
    <xf numFmtId="4" fontId="27" fillId="2" borderId="10" xfId="0" applyNumberFormat="1" applyFont="1" applyFill="1" applyBorder="1" applyAlignment="1">
      <alignment horizontal="center"/>
    </xf>
    <xf numFmtId="187" fontId="27" fillId="2" borderId="13" xfId="0" applyNumberFormat="1" applyFont="1" applyFill="1" applyBorder="1" applyAlignment="1">
      <alignment horizontal="left"/>
    </xf>
    <xf numFmtId="188" fontId="27" fillId="2" borderId="0" xfId="0" applyNumberFormat="1" applyFont="1" applyFill="1" applyBorder="1" applyAlignment="1">
      <alignment horizontal="center"/>
    </xf>
    <xf numFmtId="4" fontId="27" fillId="2" borderId="13" xfId="0" applyNumberFormat="1" applyFont="1" applyFill="1" applyBorder="1" applyAlignment="1">
      <alignment horizontal="left"/>
    </xf>
    <xf numFmtId="188" fontId="27" fillId="2" borderId="13" xfId="0" applyNumberFormat="1" applyFont="1" applyFill="1" applyBorder="1" applyAlignment="1">
      <alignment horizontal="left"/>
    </xf>
    <xf numFmtId="187" fontId="27" fillId="2" borderId="16" xfId="0" applyNumberFormat="1" applyFont="1" applyFill="1" applyBorder="1" applyAlignment="1">
      <alignment horizontal="center"/>
    </xf>
    <xf numFmtId="4" fontId="27" fillId="2" borderId="16" xfId="0" applyNumberFormat="1" applyFont="1" applyFill="1" applyBorder="1" applyAlignment="1">
      <alignment horizontal="center"/>
    </xf>
    <xf numFmtId="188" fontId="27" fillId="2" borderId="16" xfId="0" applyNumberFormat="1" applyFont="1" applyFill="1" applyBorder="1" applyAlignment="1">
      <alignment horizontal="center"/>
    </xf>
    <xf numFmtId="4" fontId="27" fillId="2" borderId="20" xfId="0" applyNumberFormat="1" applyFont="1" applyFill="1" applyBorder="1" applyAlignment="1">
      <alignment horizontal="right"/>
    </xf>
    <xf numFmtId="188" fontId="27" fillId="2" borderId="20" xfId="0" applyNumberFormat="1" applyFont="1" applyFill="1" applyBorder="1" applyAlignment="1">
      <alignment horizontal="right"/>
    </xf>
    <xf numFmtId="187" fontId="27" fillId="2" borderId="20" xfId="0" applyNumberFormat="1" applyFont="1" applyFill="1" applyBorder="1" applyAlignment="1">
      <alignment horizontal="right"/>
    </xf>
    <xf numFmtId="190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/>
    <xf numFmtId="2" fontId="0" fillId="0" borderId="0" xfId="0" applyNumberFormat="1" applyFont="1" applyAlignment="1"/>
    <xf numFmtId="0" fontId="29" fillId="0" borderId="0" xfId="0" applyFont="1" applyAlignment="1"/>
    <xf numFmtId="187" fontId="30" fillId="2" borderId="0" xfId="0" applyNumberFormat="1" applyFont="1" applyFill="1"/>
    <xf numFmtId="0" fontId="26" fillId="0" borderId="0" xfId="0" applyFont="1" applyAlignment="1"/>
    <xf numFmtId="0" fontId="32" fillId="0" borderId="0" xfId="0" applyFont="1" applyAlignment="1">
      <alignment horizontal="center"/>
    </xf>
    <xf numFmtId="0" fontId="3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11" fontId="7" fillId="2" borderId="25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</xdr:colOff>
      <xdr:row>133</xdr:row>
      <xdr:rowOff>152400</xdr:rowOff>
    </xdr:from>
    <xdr:ext cx="6353175" cy="2390775"/>
    <xdr:pic>
      <xdr:nvPicPr>
        <xdr:cNvPr id="2" name="image2.png" title="ภาพ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8350" y="22679025"/>
          <a:ext cx="6353175" cy="2390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276225</xdr:colOff>
      <xdr:row>179</xdr:row>
      <xdr:rowOff>190500</xdr:rowOff>
    </xdr:from>
    <xdr:ext cx="5610225" cy="7839075"/>
    <xdr:pic>
      <xdr:nvPicPr>
        <xdr:cNvPr id="3" name="image1.png" title="ภาพ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194"/>
  <sheetViews>
    <sheetView tabSelected="1" workbookViewId="0">
      <selection activeCell="D2" sqref="D2"/>
    </sheetView>
  </sheetViews>
  <sheetFormatPr defaultColWidth="14.42578125" defaultRowHeight="15.75" customHeight="1"/>
  <cols>
    <col min="1" max="1" width="6.28515625" customWidth="1"/>
    <col min="2" max="2" width="11.7109375" customWidth="1"/>
    <col min="3" max="3" width="9.140625" customWidth="1"/>
    <col min="4" max="5" width="8" customWidth="1"/>
    <col min="6" max="7" width="6.28515625" customWidth="1"/>
    <col min="8" max="8" width="8.42578125" customWidth="1"/>
    <col min="9" max="9" width="10.7109375" customWidth="1"/>
    <col min="10" max="11" width="6.28515625" customWidth="1"/>
    <col min="12" max="12" width="9.7109375" customWidth="1"/>
    <col min="13" max="13" width="10.85546875" customWidth="1"/>
    <col min="14" max="14" width="9.7109375" customWidth="1"/>
    <col min="15" max="15" width="8.140625" customWidth="1"/>
    <col min="16" max="16" width="7" customWidth="1"/>
    <col min="17" max="17" width="11.85546875" customWidth="1"/>
    <col min="18" max="18" width="9.140625" customWidth="1"/>
    <col min="19" max="19" width="9.42578125" customWidth="1"/>
    <col min="20" max="20" width="10" customWidth="1"/>
    <col min="21" max="21" width="16.140625" customWidth="1"/>
    <col min="22" max="22" width="10" customWidth="1"/>
    <col min="23" max="24" width="6.28515625" customWidth="1"/>
    <col min="25" max="25" width="10.5703125" customWidth="1"/>
    <col min="26" max="26" width="6.28515625" customWidth="1"/>
  </cols>
  <sheetData>
    <row r="1" spans="1:29" ht="15">
      <c r="A1" s="1" t="s">
        <v>0</v>
      </c>
      <c r="B1" s="2"/>
      <c r="C1" s="2"/>
      <c r="D1" s="3" t="s">
        <v>264</v>
      </c>
      <c r="AB1" s="2"/>
      <c r="AC1" s="2"/>
    </row>
    <row r="2" spans="1:29" ht="12.75">
      <c r="A2" s="4"/>
      <c r="B2" s="2"/>
      <c r="C2" s="2"/>
      <c r="AA2" s="2"/>
      <c r="AB2" s="5"/>
      <c r="AC2" s="2"/>
    </row>
    <row r="3" spans="1:29" ht="12.75">
      <c r="A3" s="4" t="s">
        <v>1</v>
      </c>
      <c r="B3" s="2"/>
      <c r="C3" s="2"/>
      <c r="AA3" s="2"/>
      <c r="AB3" s="5"/>
      <c r="AC3" s="2"/>
    </row>
    <row r="4" spans="1:29" ht="12.75">
      <c r="A4" s="4"/>
      <c r="B4" s="2"/>
      <c r="C4" s="2"/>
      <c r="AA4" s="2"/>
      <c r="AB4" s="5"/>
      <c r="AC4" s="2"/>
    </row>
    <row r="5" spans="1:29" ht="12.75">
      <c r="A5" s="131" t="s">
        <v>2</v>
      </c>
      <c r="B5" s="132">
        <v>173</v>
      </c>
      <c r="C5" s="131"/>
      <c r="D5" s="131" t="s">
        <v>3</v>
      </c>
      <c r="AA5" s="2"/>
      <c r="AB5" s="5"/>
      <c r="AC5" s="2"/>
    </row>
    <row r="6" spans="1:29" ht="12.75">
      <c r="A6" s="131" t="s">
        <v>4</v>
      </c>
      <c r="B6" s="133">
        <v>2040000</v>
      </c>
      <c r="C6" s="131"/>
      <c r="D6" s="131" t="s">
        <v>3</v>
      </c>
      <c r="AA6" s="2"/>
      <c r="AB6" s="5"/>
      <c r="AC6" s="2"/>
    </row>
    <row r="7" spans="1:29" s="130" customFormat="1" ht="12.75">
      <c r="A7" s="131" t="s">
        <v>6</v>
      </c>
      <c r="B7" s="134">
        <v>2.323</v>
      </c>
      <c r="C7" s="131"/>
      <c r="D7" s="131" t="s">
        <v>227</v>
      </c>
      <c r="AA7" s="2"/>
      <c r="AB7" s="5"/>
      <c r="AC7" s="2"/>
    </row>
    <row r="8" spans="1:29" ht="12.75">
      <c r="A8" s="2"/>
      <c r="D8" s="2"/>
      <c r="I8" s="2"/>
      <c r="AA8" s="2"/>
      <c r="AB8" s="5"/>
      <c r="AC8" s="2"/>
    </row>
    <row r="9" spans="1:29" ht="12.75">
      <c r="A9" s="2" t="s">
        <v>5</v>
      </c>
      <c r="B9" s="115">
        <f>4270*B7^1.5*SQRT(B5)</f>
        <v>198849.60896546487</v>
      </c>
      <c r="D9" s="2" t="s">
        <v>3</v>
      </c>
      <c r="I9" s="3" t="s">
        <v>7</v>
      </c>
      <c r="AA9" s="2"/>
      <c r="AB9" s="5"/>
      <c r="AC9" s="2"/>
    </row>
    <row r="10" spans="1:29" ht="12.75">
      <c r="A10" s="2" t="s">
        <v>8</v>
      </c>
      <c r="B10" s="9">
        <f>0.375*B5</f>
        <v>64.875</v>
      </c>
      <c r="D10" s="2" t="s">
        <v>3</v>
      </c>
      <c r="I10" s="3" t="s">
        <v>9</v>
      </c>
      <c r="AA10" s="2"/>
      <c r="AB10" s="5"/>
      <c r="AC10" s="2"/>
    </row>
    <row r="11" spans="1:29" ht="12.75">
      <c r="A11" s="2" t="s">
        <v>10</v>
      </c>
      <c r="B11" s="10">
        <f>B6/B9</f>
        <v>10.259009361966088</v>
      </c>
      <c r="I11" s="3" t="s">
        <v>11</v>
      </c>
      <c r="AA11" s="2"/>
      <c r="AB11" s="5"/>
      <c r="AC11" s="2"/>
    </row>
    <row r="12" spans="1:29" ht="12.75">
      <c r="I12" s="11"/>
      <c r="AA12" s="2"/>
      <c r="AB12" s="5"/>
      <c r="AC12" s="2"/>
    </row>
    <row r="13" spans="1:29" ht="12.75">
      <c r="A13" s="2" t="s">
        <v>12</v>
      </c>
      <c r="E13" s="2" t="s">
        <v>13</v>
      </c>
      <c r="I13" s="11"/>
      <c r="AA13" s="2"/>
      <c r="AB13" s="5"/>
      <c r="AC13" s="2"/>
    </row>
    <row r="14" spans="1:29" ht="12.75">
      <c r="A14" s="131" t="s">
        <v>14</v>
      </c>
      <c r="B14" s="135">
        <v>2400</v>
      </c>
      <c r="C14" s="131" t="s">
        <v>3</v>
      </c>
      <c r="D14" s="136" t="s">
        <v>15</v>
      </c>
      <c r="E14" s="131" t="s">
        <v>14</v>
      </c>
      <c r="F14" s="135">
        <v>3000</v>
      </c>
      <c r="G14" s="131" t="s">
        <v>3</v>
      </c>
      <c r="I14" s="3" t="s">
        <v>16</v>
      </c>
      <c r="AA14" s="2"/>
      <c r="AB14" s="5"/>
      <c r="AC14" s="2"/>
    </row>
    <row r="15" spans="1:29" ht="12.75">
      <c r="A15" s="2" t="s">
        <v>17</v>
      </c>
      <c r="B15" s="9">
        <f>0.5*B14</f>
        <v>1200</v>
      </c>
      <c r="C15" s="2" t="s">
        <v>3</v>
      </c>
      <c r="E15" s="2" t="s">
        <v>17</v>
      </c>
      <c r="F15" s="9">
        <f>0.5*F14</f>
        <v>1500</v>
      </c>
      <c r="G15" s="2" t="s">
        <v>3</v>
      </c>
      <c r="I15" s="3" t="s">
        <v>18</v>
      </c>
      <c r="AA15" s="2"/>
      <c r="AB15" s="5"/>
      <c r="AC15" s="2"/>
    </row>
    <row r="16" spans="1:29" ht="12.75">
      <c r="A16" s="2" t="s">
        <v>19</v>
      </c>
      <c r="B16" s="8">
        <f>1/(1+(B15/B11/B10))</f>
        <v>0.35675917514102368</v>
      </c>
      <c r="E16" s="2" t="s">
        <v>19</v>
      </c>
      <c r="F16" s="8">
        <f>1/(1+(F15/B11/B10))</f>
        <v>0.30733635286027539</v>
      </c>
      <c r="I16" s="3" t="s">
        <v>20</v>
      </c>
      <c r="AA16" s="2"/>
      <c r="AB16" s="5"/>
      <c r="AC16" s="2"/>
    </row>
    <row r="17" spans="1:35" ht="12.75">
      <c r="A17" s="2" t="s">
        <v>21</v>
      </c>
      <c r="B17" s="8">
        <f>1-(B16/3)</f>
        <v>0.88108027495299213</v>
      </c>
      <c r="E17" s="2" t="s">
        <v>21</v>
      </c>
      <c r="F17" s="8">
        <f>1-F16/3</f>
        <v>0.89755454904657483</v>
      </c>
      <c r="I17" s="3" t="s">
        <v>22</v>
      </c>
      <c r="AA17" s="2"/>
      <c r="AB17" s="5"/>
      <c r="AC17" s="2"/>
    </row>
    <row r="18" spans="1:35" ht="12.75">
      <c r="A18" s="2" t="s">
        <v>23</v>
      </c>
      <c r="B18" s="8">
        <f>0.5*B10*B16*B17</f>
        <v>10.196192002062986</v>
      </c>
      <c r="C18" s="2" t="s">
        <v>3</v>
      </c>
      <c r="E18" s="2" t="s">
        <v>23</v>
      </c>
      <c r="F18" s="8">
        <f>0.5*B10*F16*F17</f>
        <v>8.9479214055566914</v>
      </c>
      <c r="G18" s="2" t="s">
        <v>3</v>
      </c>
      <c r="I18" s="3" t="s">
        <v>24</v>
      </c>
      <c r="AA18" s="2"/>
      <c r="AB18" s="5"/>
      <c r="AC18" s="2"/>
    </row>
    <row r="19" spans="1:35" ht="12.75">
      <c r="A19" s="4"/>
      <c r="B19" s="2"/>
      <c r="C19" s="2"/>
      <c r="AA19" s="2"/>
      <c r="AB19" s="5"/>
      <c r="AC19" s="2"/>
    </row>
    <row r="20" spans="1:35" ht="12.75">
      <c r="A20" s="4"/>
      <c r="B20" s="2"/>
      <c r="C20" s="2"/>
      <c r="AB20" s="5"/>
    </row>
    <row r="21" spans="1:35" ht="12.75">
      <c r="A21" s="4" t="s">
        <v>25</v>
      </c>
      <c r="AB21" s="7"/>
    </row>
    <row r="22" spans="1:35" ht="12.75">
      <c r="A22" s="137" t="s">
        <v>26</v>
      </c>
      <c r="B22" s="138"/>
      <c r="C22" s="132" t="s">
        <v>27</v>
      </c>
      <c r="D22" s="132">
        <v>9</v>
      </c>
      <c r="E22" s="131" t="s">
        <v>28</v>
      </c>
      <c r="H22" s="143"/>
      <c r="I22" s="148" t="s">
        <v>229</v>
      </c>
      <c r="J22" s="144"/>
      <c r="L22" s="2" t="s">
        <v>244</v>
      </c>
      <c r="N22" s="27">
        <f>D38*D32^2</f>
        <v>5440</v>
      </c>
      <c r="O22" s="2" t="s">
        <v>29</v>
      </c>
      <c r="P22" s="27" t="s">
        <v>30</v>
      </c>
      <c r="Q22" s="176">
        <f>D24*D25*D39/100</f>
        <v>79.297224745769284</v>
      </c>
      <c r="R22" s="2" t="s">
        <v>243</v>
      </c>
      <c r="T22" s="2" t="s">
        <v>31</v>
      </c>
      <c r="W22" s="13">
        <f>0.0025*100*D34</f>
        <v>2.5</v>
      </c>
      <c r="X22" s="2" t="s">
        <v>39</v>
      </c>
      <c r="Y22" s="5"/>
    </row>
    <row r="23" spans="1:35" ht="12.75">
      <c r="A23" s="2" t="s">
        <v>32</v>
      </c>
      <c r="H23" s="149" t="s">
        <v>231</v>
      </c>
      <c r="I23" s="147" t="s">
        <v>233</v>
      </c>
      <c r="J23" s="150" t="s">
        <v>232</v>
      </c>
      <c r="L23" s="2" t="s">
        <v>33</v>
      </c>
      <c r="N23" s="14">
        <f>D26*D39^2</f>
        <v>573.53580011604299</v>
      </c>
      <c r="O23" s="2" t="s">
        <v>29</v>
      </c>
      <c r="R23" s="7"/>
      <c r="S23" s="7"/>
      <c r="X23" s="7"/>
      <c r="Y23" s="7"/>
      <c r="Z23" s="9"/>
      <c r="AB23" s="8"/>
      <c r="AG23" s="4"/>
      <c r="AI23" s="3"/>
    </row>
    <row r="24" spans="1:35" ht="12.75">
      <c r="A24" s="2" t="s">
        <v>17</v>
      </c>
      <c r="D24">
        <f>IF($C$22="RB",B15,IF($C$22="DB",F15))</f>
        <v>1200</v>
      </c>
      <c r="E24" s="2" t="s">
        <v>3</v>
      </c>
      <c r="H24" s="145"/>
      <c r="I24" s="151" t="s">
        <v>230</v>
      </c>
      <c r="J24" s="146"/>
      <c r="AB24" s="8"/>
      <c r="AG24" s="4"/>
      <c r="AI24" s="3"/>
    </row>
    <row r="25" spans="1:35" ht="12.75">
      <c r="A25" s="2" t="s">
        <v>21</v>
      </c>
      <c r="D25" s="15">
        <f t="shared" ref="D25:D26" si="0">IF($C$22="RB",B17,IF($C$22="DB",F17))</f>
        <v>0.88108027495299213</v>
      </c>
      <c r="AB25" s="9"/>
      <c r="AI25" s="3"/>
    </row>
    <row r="26" spans="1:35" ht="12.75">
      <c r="A26" s="2" t="s">
        <v>23</v>
      </c>
      <c r="D26" s="15">
        <f t="shared" si="0"/>
        <v>10.196192002062986</v>
      </c>
      <c r="E26" s="2" t="s">
        <v>3</v>
      </c>
      <c r="H26" s="137" t="s">
        <v>234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7"/>
      <c r="T26" s="7"/>
      <c r="Y26" s="7"/>
      <c r="Z26" s="7"/>
      <c r="AB26" s="10"/>
      <c r="AI26" s="3"/>
    </row>
    <row r="27" spans="1:35" ht="13.5" thickBot="1">
      <c r="A27" s="2" t="s">
        <v>38</v>
      </c>
      <c r="D27" s="21">
        <f>PI()*(D22/10)^2/4</f>
        <v>0.63617251235193317</v>
      </c>
      <c r="E27" s="2" t="s">
        <v>39</v>
      </c>
      <c r="H27" s="7"/>
      <c r="I27" s="16" t="s">
        <v>34</v>
      </c>
      <c r="J27" s="7"/>
      <c r="K27" s="7"/>
      <c r="L27" s="7"/>
      <c r="M27" s="16" t="s">
        <v>35</v>
      </c>
      <c r="N27" s="7"/>
      <c r="O27" s="7"/>
      <c r="P27" s="7"/>
      <c r="Q27" s="16" t="s">
        <v>36</v>
      </c>
      <c r="R27" s="7"/>
      <c r="S27" s="9"/>
      <c r="T27" s="7"/>
      <c r="U27" s="141" t="s">
        <v>228</v>
      </c>
      <c r="V27" s="7"/>
      <c r="X27" s="7"/>
      <c r="Y27" s="16" t="s">
        <v>37</v>
      </c>
      <c r="Z27" s="7"/>
      <c r="AI27" s="11"/>
    </row>
    <row r="28" spans="1:35" ht="13.5" thickTop="1">
      <c r="H28" s="17"/>
      <c r="I28" s="142">
        <f>IF(D40&gt;0.5,1.8947716 - 10.4923074 * D40 + 23.3596158 * D40^ 2 - 24.3537997 *D40^ 3+ 10.2775488 *D40^ 4 + 0.4197035 *D40^ 5 - 1.0725337 *D40^ 6,IF(D40&lt;=0.5,0.083))</f>
        <v>3.2998900000001274E-2</v>
      </c>
      <c r="J28" s="18"/>
      <c r="K28" s="19"/>
      <c r="L28" s="17"/>
      <c r="M28" s="156">
        <f>I28*$N$22</f>
        <v>179.51401600000693</v>
      </c>
      <c r="N28" s="18"/>
      <c r="O28" s="19"/>
      <c r="P28" s="17"/>
      <c r="Q28" s="156">
        <f t="shared" ref="Q28:Q29" si="1">M28/$Q$22</f>
        <v>2.2638120889544053</v>
      </c>
      <c r="R28" s="18"/>
      <c r="S28" s="20"/>
      <c r="T28" s="17"/>
      <c r="U28" s="156">
        <f t="shared" ref="U28:U29" si="2">IF(Q28&lt;$W$22,$W$22,IF(Q28&gt;=$W$22,Q28))</f>
        <v>2.5</v>
      </c>
      <c r="V28" s="18"/>
      <c r="W28" s="12"/>
      <c r="X28" s="17"/>
      <c r="Y28" s="142">
        <f>$D$27/U28</f>
        <v>0.25446900494077329</v>
      </c>
      <c r="Z28" s="18"/>
      <c r="AI28" s="11"/>
    </row>
    <row r="29" spans="1:35" ht="12.75">
      <c r="A29" s="131" t="s">
        <v>41</v>
      </c>
      <c r="B29" s="131"/>
      <c r="C29" s="131"/>
      <c r="D29" s="132">
        <v>2.5</v>
      </c>
      <c r="E29" s="131" t="s">
        <v>42</v>
      </c>
      <c r="F29" s="27" t="s">
        <v>40</v>
      </c>
      <c r="G29" s="12">
        <f>D32</f>
        <v>4</v>
      </c>
      <c r="H29" s="152">
        <f>0.033</f>
        <v>3.3000000000000002E-2</v>
      </c>
      <c r="I29" s="22">
        <f>IF(D40&gt;0.5,1.1810206 - 6.2189847 * D40 + 13.1660626 *D40^ 2 - 12.9389367 * D40^ 3+ 5.0639921 *D40 ^ 4 + 0.2169061 *D40 ^ 5 - 0.4450605 *D40 ^ 6,IF(D40&lt;=0.5,0.062))</f>
        <v>2.4999500000000896E-2</v>
      </c>
      <c r="J29" s="154">
        <f>0.033</f>
        <v>3.3000000000000002E-2</v>
      </c>
      <c r="K29" s="23"/>
      <c r="L29" s="155">
        <f>H29*N22</f>
        <v>179.52</v>
      </c>
      <c r="M29" s="24">
        <f>I29*$N$22</f>
        <v>135.99728000000488</v>
      </c>
      <c r="N29" s="157">
        <f>J29*N22</f>
        <v>179.52</v>
      </c>
      <c r="O29" s="23"/>
      <c r="P29" s="155">
        <f>L29/Q22</f>
        <v>2.2638875518727137</v>
      </c>
      <c r="Q29" s="24">
        <f t="shared" si="1"/>
        <v>1.7150320258498162</v>
      </c>
      <c r="R29" s="157">
        <f>N29/Q22</f>
        <v>2.2638875518727137</v>
      </c>
      <c r="S29" s="25"/>
      <c r="T29" s="159">
        <f>IF(P29&lt;$W$22,$W$22,IF(P29&gt;=$W$22,P29))</f>
        <v>2.5</v>
      </c>
      <c r="U29" s="24">
        <f t="shared" si="2"/>
        <v>2.5</v>
      </c>
      <c r="V29" s="160">
        <f>IF(R29&lt;$W$22,$W$22,IF(R29&gt;=$W$22,R29))</f>
        <v>2.5</v>
      </c>
      <c r="W29" s="12"/>
      <c r="X29" s="161">
        <f>$D$27/T29</f>
        <v>0.25446900494077329</v>
      </c>
      <c r="Y29" s="26">
        <f t="shared" ref="Y29" si="3">$D$27/U29</f>
        <v>0.25446900494077329</v>
      </c>
      <c r="Z29" s="162">
        <f>$D$27/V29</f>
        <v>0.25446900494077329</v>
      </c>
      <c r="AB29" s="4"/>
      <c r="AF29" s="30"/>
      <c r="AH29" s="3"/>
      <c r="AI29" s="3"/>
    </row>
    <row r="30" spans="1:35" ht="13.5" thickBot="1">
      <c r="A30" s="131" t="s">
        <v>43</v>
      </c>
      <c r="B30" s="131"/>
      <c r="C30" s="131"/>
      <c r="D30" s="132">
        <v>100</v>
      </c>
      <c r="E30" s="131" t="s">
        <v>44</v>
      </c>
      <c r="H30" s="28"/>
      <c r="I30" s="153">
        <f>IF(D40&gt;0.5,1.8947716 - 10.4923074 * D40 + 23.3596158 * D40^ 2 - 24.3537997 *D40^ 3+ 10.2775488 *D40^ 4 + 0.4197035 *D40^ 5 - 1.0725337 *D40^ 6,IF(D40&lt;=0.5,0.083))</f>
        <v>3.2998900000001274E-2</v>
      </c>
      <c r="J30" s="29"/>
      <c r="K30" s="25"/>
      <c r="L30" s="28"/>
      <c r="M30" s="158">
        <f>I30*$N$22</f>
        <v>179.51401600000693</v>
      </c>
      <c r="N30" s="29"/>
      <c r="O30" s="25"/>
      <c r="P30" s="28"/>
      <c r="Q30" s="158">
        <f>M30/$Q$22</f>
        <v>2.2638120889544053</v>
      </c>
      <c r="R30" s="29"/>
      <c r="S30" s="23"/>
      <c r="T30" s="28"/>
      <c r="U30" s="158">
        <f>IF(Q30&lt;$W$22,$W$22,IF(Q30&gt;=$W$22,Q30))</f>
        <v>2.5</v>
      </c>
      <c r="V30" s="29"/>
      <c r="W30" s="12"/>
      <c r="X30" s="28"/>
      <c r="Y30" s="163">
        <f>$D$27/U30</f>
        <v>0.25446900494077329</v>
      </c>
      <c r="Z30" s="29"/>
      <c r="AB30" s="9"/>
      <c r="AF30" s="9"/>
      <c r="AI30" s="3"/>
    </row>
    <row r="31" spans="1:35" ht="13.5" thickTop="1">
      <c r="A31" s="131" t="s">
        <v>46</v>
      </c>
      <c r="B31" s="131"/>
      <c r="C31" s="131"/>
      <c r="D31" s="132">
        <v>0</v>
      </c>
      <c r="E31" s="131" t="s">
        <v>44</v>
      </c>
      <c r="H31" s="27" t="s">
        <v>45</v>
      </c>
      <c r="I31" s="12">
        <f>D33</f>
        <v>4</v>
      </c>
      <c r="V31" s="9"/>
      <c r="W31" s="9"/>
      <c r="X31" s="9"/>
      <c r="Y31" s="9"/>
      <c r="Z31" s="9"/>
      <c r="AB31" s="8"/>
      <c r="AF31" s="8"/>
      <c r="AI31" s="3"/>
    </row>
    <row r="32" spans="1:35" ht="12.75">
      <c r="A32" s="131" t="s">
        <v>40</v>
      </c>
      <c r="B32" s="131"/>
      <c r="C32" s="131"/>
      <c r="D32" s="132">
        <v>4</v>
      </c>
      <c r="E32" s="131" t="s">
        <v>47</v>
      </c>
      <c r="V32" s="30"/>
      <c r="W32" s="30"/>
      <c r="X32" s="30"/>
      <c r="Y32" s="30"/>
      <c r="Z32" s="9"/>
      <c r="AB32" s="8"/>
      <c r="AF32" s="8"/>
      <c r="AI32" s="3"/>
    </row>
    <row r="33" spans="1:39" ht="12.75">
      <c r="A33" s="131" t="s">
        <v>45</v>
      </c>
      <c r="B33" s="131"/>
      <c r="C33" s="131"/>
      <c r="D33" s="132">
        <v>4</v>
      </c>
      <c r="E33" s="131" t="s">
        <v>47</v>
      </c>
      <c r="H33" s="137" t="s">
        <v>235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7"/>
      <c r="T33" s="7"/>
      <c r="Y33" s="7"/>
      <c r="Z33" s="7"/>
      <c r="AB33" s="8"/>
      <c r="AF33" s="8"/>
      <c r="AI33" s="3"/>
    </row>
    <row r="34" spans="1:39" ht="12.75">
      <c r="A34" s="131" t="s">
        <v>48</v>
      </c>
      <c r="B34" s="131"/>
      <c r="C34" s="131"/>
      <c r="D34" s="132">
        <v>10</v>
      </c>
      <c r="E34" s="131" t="s">
        <v>42</v>
      </c>
      <c r="G34" s="31"/>
      <c r="H34" s="32"/>
      <c r="I34" s="33" t="s">
        <v>34</v>
      </c>
      <c r="J34" s="32"/>
      <c r="K34" s="32"/>
      <c r="L34" s="32"/>
      <c r="M34" s="33" t="s">
        <v>35</v>
      </c>
      <c r="N34" s="32"/>
      <c r="O34" s="32"/>
      <c r="P34" s="32"/>
      <c r="Q34" s="33" t="s">
        <v>36</v>
      </c>
      <c r="R34" s="32"/>
      <c r="S34" s="34"/>
      <c r="T34" s="32"/>
      <c r="U34" s="141" t="s">
        <v>228</v>
      </c>
      <c r="V34" s="32"/>
      <c r="W34" s="31"/>
      <c r="X34" s="32"/>
      <c r="Y34" s="33" t="s">
        <v>37</v>
      </c>
      <c r="Z34" s="32"/>
    </row>
    <row r="35" spans="1:39" ht="12.75">
      <c r="A35" s="131" t="s">
        <v>49</v>
      </c>
      <c r="B35" s="131"/>
      <c r="C35" s="131"/>
      <c r="D35" s="131">
        <v>1</v>
      </c>
      <c r="E35" s="131" t="s">
        <v>47</v>
      </c>
      <c r="G35" s="31"/>
      <c r="H35" s="35"/>
      <c r="I35" s="164">
        <f>IF(D40&gt;0.5,1.1222564 - 6.9300216 * D40 + 17.2649866 * D40 ^ 2 - 20.2243189 * D40 ^ 3+ 9.6823438 * D40 ^ 4 + 0.343984 * D40 ^ 5 - 1.2382314 * D40 ^ 6,IF(D40&lt;=0.5,0.042))</f>
        <v>2.0998899999999709E-2</v>
      </c>
      <c r="J35" s="36"/>
      <c r="K35" s="37"/>
      <c r="L35" s="35"/>
      <c r="M35" s="165">
        <f>I35*$N$22</f>
        <v>114.23401599999842</v>
      </c>
      <c r="N35" s="36"/>
      <c r="O35" s="37"/>
      <c r="P35" s="35"/>
      <c r="Q35" s="165">
        <f t="shared" ref="Q35:Q36" si="4">M35/$Q$22</f>
        <v>1.4405802519096749</v>
      </c>
      <c r="R35" s="36"/>
      <c r="S35" s="38"/>
      <c r="T35" s="35"/>
      <c r="U35" s="165">
        <f t="shared" ref="U35:U36" si="5">IF(Q35&lt;$W$22,$W$22,IF(Q35&gt;=$W$22,Q35))</f>
        <v>2.5</v>
      </c>
      <c r="V35" s="36"/>
      <c r="W35" s="39"/>
      <c r="X35" s="35"/>
      <c r="Y35" s="164">
        <f t="shared" ref="Y35:Y36" si="6">$D$27/U35</f>
        <v>0.25446900494077329</v>
      </c>
      <c r="Z35" s="36"/>
      <c r="AA35" s="44"/>
      <c r="AB35" s="9"/>
      <c r="AC35" s="8"/>
    </row>
    <row r="36" spans="1:39" ht="14.25">
      <c r="F36" s="27" t="s">
        <v>40</v>
      </c>
      <c r="G36" s="39">
        <f>D32</f>
        <v>4</v>
      </c>
      <c r="H36" s="152">
        <v>4.1000000000000002E-2</v>
      </c>
      <c r="I36" s="22">
        <f>IF(D40&gt;0.5,2.5455803 - 15.8944465 * D40 + 39.3385918 * D40 ^ 2 - 45.5872858 *D40 ^ 3+ 21.5683823 * D40^ 4 + 0.7484081 * D40^ 5 - 2.6882328 *D40 ^ 6,IF(D40&lt;=0.5,0.064))</f>
        <v>3.099740000000617E-2</v>
      </c>
      <c r="J36" s="154">
        <v>4.1000000000000002E-2</v>
      </c>
      <c r="K36" s="40"/>
      <c r="L36" s="159">
        <f>H36*$N$22</f>
        <v>223.04000000000002</v>
      </c>
      <c r="M36" s="41">
        <f>I36*$N$22</f>
        <v>168.62585600003356</v>
      </c>
      <c r="N36" s="160">
        <f>J36*$N$22</f>
        <v>223.04000000000002</v>
      </c>
      <c r="O36" s="40"/>
      <c r="P36" s="159">
        <f>L36/$Q$22</f>
        <v>2.8127087765691297</v>
      </c>
      <c r="Q36" s="41">
        <f t="shared" si="4"/>
        <v>2.1265038788010067</v>
      </c>
      <c r="R36" s="160">
        <f>N36/$Q$22</f>
        <v>2.8127087765691297</v>
      </c>
      <c r="S36" s="42"/>
      <c r="T36" s="159">
        <f>IF(P36&lt;$W$22,$W$22,IF(P36&gt;=$W$22,P36))</f>
        <v>2.8127087765691297</v>
      </c>
      <c r="U36" s="43">
        <f t="shared" si="5"/>
        <v>2.5</v>
      </c>
      <c r="V36" s="160">
        <f>IF(R36&lt;$W$22,$W$22,IF(R36&gt;=$W$22,R36))</f>
        <v>2.8127087765691297</v>
      </c>
      <c r="W36" s="39"/>
      <c r="X36" s="161">
        <f>$D$27/T36</f>
        <v>0.22617788149682533</v>
      </c>
      <c r="Y36" s="26">
        <f t="shared" si="6"/>
        <v>0.25446900494077329</v>
      </c>
      <c r="Z36" s="162">
        <f>$D$27/V36</f>
        <v>0.22617788149682533</v>
      </c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6"/>
    </row>
    <row r="37" spans="1:39" ht="15" thickBot="1">
      <c r="A37" s="2" t="s">
        <v>51</v>
      </c>
      <c r="D37">
        <f>2400*D34/100</f>
        <v>240</v>
      </c>
      <c r="E37" s="2" t="s">
        <v>44</v>
      </c>
      <c r="H37" s="47"/>
      <c r="I37" s="153">
        <f>IF(D40&gt;0.5,2.1718379 - 12.8567584 * D40 + 30.6613467 * D40 ^ 2 - 34.3693089 *D40 ^ 3+ 15.7441491 * D40 ^ 4 + 0.5653468 *D40 ^ 5 - 1.875615 *D40 ^ 6,IF(D40&lt;=0.5,0.085))</f>
        <v>4.0998199999998208E-2</v>
      </c>
      <c r="J37" s="48"/>
      <c r="K37" s="42"/>
      <c r="L37" s="47"/>
      <c r="M37" s="158">
        <f>I37*$N$22</f>
        <v>223.03020799999024</v>
      </c>
      <c r="N37" s="48"/>
      <c r="O37" s="42"/>
      <c r="P37" s="47"/>
      <c r="Q37" s="158">
        <f>M37/$Q$22</f>
        <v>2.8125852917934493</v>
      </c>
      <c r="R37" s="48"/>
      <c r="S37" s="40"/>
      <c r="T37" s="47"/>
      <c r="U37" s="158">
        <f>IF(Q37&lt;$W$22,$W$22,IF(Q37&gt;=$W$22,Q37))</f>
        <v>2.8125852917934493</v>
      </c>
      <c r="V37" s="48"/>
      <c r="W37" s="39"/>
      <c r="X37" s="47"/>
      <c r="Y37" s="163">
        <f>$D$27/U37</f>
        <v>0.22618781169344621</v>
      </c>
      <c r="Z37" s="48"/>
      <c r="AC37" s="45"/>
      <c r="AD37" s="45"/>
      <c r="AE37" s="49"/>
      <c r="AF37" s="50"/>
      <c r="AG37" s="50"/>
      <c r="AH37" s="50"/>
      <c r="AI37" s="50"/>
      <c r="AJ37" s="50"/>
      <c r="AK37" s="50"/>
      <c r="AL37" s="45"/>
      <c r="AM37" s="51"/>
    </row>
    <row r="38" spans="1:39" ht="15" thickTop="1">
      <c r="A38" s="2" t="s">
        <v>52</v>
      </c>
      <c r="D38" s="52">
        <f>D37+D30+D31</f>
        <v>340</v>
      </c>
      <c r="E38" s="2" t="s">
        <v>44</v>
      </c>
      <c r="G38" s="31"/>
      <c r="H38" s="53" t="s">
        <v>45</v>
      </c>
      <c r="I38" s="39">
        <f>D33</f>
        <v>4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4"/>
      <c r="W38" s="34"/>
      <c r="X38" s="34"/>
      <c r="Y38" s="34"/>
      <c r="Z38" s="34"/>
      <c r="AC38" s="45"/>
      <c r="AD38" s="45"/>
      <c r="AE38" s="45"/>
      <c r="AF38" s="45"/>
      <c r="AG38" s="45"/>
      <c r="AH38" s="45"/>
      <c r="AI38" s="45"/>
      <c r="AJ38" s="45"/>
      <c r="AK38" s="54"/>
      <c r="AL38" s="45"/>
      <c r="AM38" s="45"/>
    </row>
    <row r="39" spans="1:39" ht="14.25">
      <c r="A39" s="2" t="s">
        <v>53</v>
      </c>
      <c r="D39" s="52">
        <f>D34-D29</f>
        <v>7.5</v>
      </c>
      <c r="E39" s="2" t="s">
        <v>42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C39" s="55"/>
      <c r="AD39" s="45"/>
      <c r="AE39" s="45"/>
      <c r="AF39" s="45"/>
      <c r="AG39" s="45"/>
      <c r="AH39" s="45"/>
      <c r="AI39" s="45"/>
      <c r="AJ39" s="45"/>
      <c r="AK39" s="45"/>
      <c r="AL39" s="45"/>
      <c r="AM39" s="45"/>
    </row>
    <row r="40" spans="1:39" ht="14.25">
      <c r="A40" s="2" t="s">
        <v>50</v>
      </c>
      <c r="D40" s="14">
        <f>D32/D33</f>
        <v>1</v>
      </c>
      <c r="G40" s="31"/>
      <c r="H40" s="137" t="s">
        <v>236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32"/>
      <c r="T40" s="32"/>
      <c r="U40" s="31"/>
      <c r="V40" s="31"/>
      <c r="W40" s="31"/>
      <c r="X40" s="31"/>
      <c r="Y40" s="32"/>
      <c r="Z40" s="32"/>
      <c r="AC40" s="57"/>
      <c r="AD40" s="45"/>
      <c r="AE40" s="45"/>
      <c r="AF40" s="58"/>
      <c r="AG40" s="58"/>
      <c r="AH40" s="58"/>
      <c r="AI40" s="58"/>
      <c r="AJ40" s="58"/>
      <c r="AK40" s="58"/>
      <c r="AL40" s="45"/>
      <c r="AM40" s="45"/>
    </row>
    <row r="41" spans="1:39" ht="15" thickBot="1">
      <c r="G41" s="31"/>
      <c r="H41" s="188" t="s">
        <v>34</v>
      </c>
      <c r="I41" s="188"/>
      <c r="J41" s="188"/>
      <c r="K41" s="32"/>
      <c r="L41" s="32"/>
      <c r="M41" s="33" t="s">
        <v>35</v>
      </c>
      <c r="N41" s="32"/>
      <c r="O41" s="32"/>
      <c r="P41" s="32"/>
      <c r="Q41" s="33" t="s">
        <v>36</v>
      </c>
      <c r="R41" s="32"/>
      <c r="S41" s="34"/>
      <c r="T41" s="32"/>
      <c r="U41" s="141" t="s">
        <v>228</v>
      </c>
      <c r="V41" s="32"/>
      <c r="W41" s="31"/>
      <c r="X41" s="32"/>
      <c r="Y41" s="33" t="s">
        <v>37</v>
      </c>
      <c r="Z41" s="32"/>
      <c r="AC41" s="60"/>
      <c r="AD41" s="45"/>
      <c r="AE41" s="45"/>
      <c r="AF41" s="61"/>
      <c r="AG41" s="61"/>
      <c r="AH41" s="61"/>
      <c r="AI41" s="61"/>
      <c r="AJ41" s="61"/>
      <c r="AK41" s="61"/>
      <c r="AL41" s="62"/>
      <c r="AM41" s="63"/>
    </row>
    <row r="42" spans="1:39" ht="15" thickTop="1">
      <c r="A42" s="2" t="s">
        <v>54</v>
      </c>
      <c r="D42" s="59">
        <f>D38*D32/3/1000</f>
        <v>0.45333333333333331</v>
      </c>
      <c r="E42" s="2" t="s">
        <v>55</v>
      </c>
      <c r="G42" s="31"/>
      <c r="H42" s="139"/>
      <c r="I42" s="167">
        <f>IF(D40&gt;0.5,2.1718379 - 12.8567584 * D40 + 30.6613467 * D40 ^ 2 - 34.3693089 *D40 ^ 3+ 15.7441491 * D40 ^ 4 + 0.5653468 *D40 ^ 5 - 1.875615 *D40 ^ 6,IF(D40&lt;=0.5,0.085))</f>
        <v>4.0998199999998208E-2</v>
      </c>
      <c r="J42" s="140"/>
      <c r="K42" s="37"/>
      <c r="L42" s="64"/>
      <c r="M42" s="156">
        <f>I42*$N$22</f>
        <v>223.03020799999024</v>
      </c>
      <c r="N42" s="65"/>
      <c r="O42" s="37"/>
      <c r="P42" s="64"/>
      <c r="Q42" s="156">
        <f t="shared" ref="Q42:Q43" si="7">M42/$Q$22</f>
        <v>2.8125852917934493</v>
      </c>
      <c r="R42" s="65"/>
      <c r="S42" s="38"/>
      <c r="T42" s="64"/>
      <c r="U42" s="156">
        <f t="shared" ref="U42:U43" si="8">IF(Q42&lt;$W$22,$W$22,IF(Q42&gt;=$W$22,Q42))</f>
        <v>2.8125852917934493</v>
      </c>
      <c r="V42" s="65"/>
      <c r="W42" s="39"/>
      <c r="X42" s="64"/>
      <c r="Y42" s="142">
        <f t="shared" ref="Y42:Y43" si="9">$D$27/U42</f>
        <v>0.22618781169344621</v>
      </c>
      <c r="Z42" s="65"/>
      <c r="AC42" s="57"/>
      <c r="AD42" s="45"/>
      <c r="AE42" s="45"/>
      <c r="AF42" s="54"/>
      <c r="AG42" s="54"/>
      <c r="AH42" s="54"/>
      <c r="AI42" s="54"/>
      <c r="AJ42" s="54"/>
      <c r="AK42" s="54"/>
      <c r="AL42" s="45"/>
      <c r="AM42" s="45"/>
    </row>
    <row r="43" spans="1:39" ht="14.25">
      <c r="A43" s="2" t="s">
        <v>56</v>
      </c>
      <c r="F43" s="27" t="s">
        <v>40</v>
      </c>
      <c r="G43" s="39">
        <f>D32</f>
        <v>4</v>
      </c>
      <c r="H43" s="166">
        <v>2.1000000000000001E-2</v>
      </c>
      <c r="I43" s="22">
        <f>IF(D40&gt;0.5,2.5455803 - 15.8944465 * D40 + 39.3385918 * D40 ^ 2 - 45.5872858 *D40 ^ 3+ 21.5683823 * D40^ 4 + 0.7484081 * D40^ 5 - 2.6882328 *D40 ^ 6,IF(D40&lt;=0.5,0.064))</f>
        <v>3.099740000000617E-2</v>
      </c>
      <c r="J43" s="154">
        <v>4.1000000000000002E-2</v>
      </c>
      <c r="K43" s="40"/>
      <c r="L43" s="168">
        <f>H43*$N$22</f>
        <v>114.24000000000001</v>
      </c>
      <c r="M43" s="41">
        <f>I43*$N$22</f>
        <v>168.62585600003356</v>
      </c>
      <c r="N43" s="160">
        <f>J43*$N$22</f>
        <v>223.04000000000002</v>
      </c>
      <c r="O43" s="40"/>
      <c r="P43" s="168">
        <f>L43/$Q$22</f>
        <v>1.4406557148280907</v>
      </c>
      <c r="Q43" s="41">
        <f t="shared" si="7"/>
        <v>2.1265038788010067</v>
      </c>
      <c r="R43" s="160">
        <f>N43/$Q$22</f>
        <v>2.8127087765691297</v>
      </c>
      <c r="S43" s="42"/>
      <c r="T43" s="168">
        <f>IF(P43&lt;$W$22,$W$22,IF(P43&gt;=$W$22,P43))</f>
        <v>2.5</v>
      </c>
      <c r="U43" s="43">
        <f t="shared" si="8"/>
        <v>2.5</v>
      </c>
      <c r="V43" s="160">
        <f>IF(R43&lt;$W$22,$W$22,IF(R43&gt;=$W$22,R43))</f>
        <v>2.8127087765691297</v>
      </c>
      <c r="W43" s="39"/>
      <c r="X43" s="169">
        <f>$D$27/T43</f>
        <v>0.25446900494077329</v>
      </c>
      <c r="Y43" s="26">
        <f t="shared" si="9"/>
        <v>0.25446900494077329</v>
      </c>
      <c r="Z43" s="162">
        <f>$D$27/V43</f>
        <v>0.22617788149682533</v>
      </c>
      <c r="AC43" s="45"/>
      <c r="AD43" s="45"/>
      <c r="AE43" s="45"/>
      <c r="AF43" s="61"/>
      <c r="AG43" s="61"/>
      <c r="AH43" s="61"/>
      <c r="AI43" s="61"/>
      <c r="AJ43" s="61"/>
      <c r="AK43" s="61"/>
      <c r="AL43" s="62"/>
      <c r="AM43" s="63"/>
    </row>
    <row r="44" spans="1:39" ht="15" thickBot="1">
      <c r="A44" s="2" t="s">
        <v>57</v>
      </c>
      <c r="D44" s="59">
        <f>((D38*D32/3)*(3-D40^2)/2)/1000</f>
        <v>0.45333333333333331</v>
      </c>
      <c r="E44" s="2" t="s">
        <v>55</v>
      </c>
      <c r="H44" s="66"/>
      <c r="I44" s="153">
        <f>IF(D40&gt;0.5,2.1718379 - 12.8567584 * D40 + 30.6613467 * D40 ^ 2 - 34.3693089 *D40 ^ 3+ 15.7441491 * D40 ^ 4 + 0.5653468 *D40 ^ 5 - 1.875615 *D40 ^ 6,IF(D40&lt;=0.5,0.085))</f>
        <v>4.0998199999998208E-2</v>
      </c>
      <c r="J44" s="48"/>
      <c r="K44" s="42"/>
      <c r="L44" s="66"/>
      <c r="M44" s="158">
        <f>I44*$N$22</f>
        <v>223.03020799999024</v>
      </c>
      <c r="N44" s="48"/>
      <c r="O44" s="42"/>
      <c r="P44" s="66"/>
      <c r="Q44" s="158">
        <f>M44/$Q$22</f>
        <v>2.8125852917934493</v>
      </c>
      <c r="R44" s="48"/>
      <c r="S44" s="40"/>
      <c r="T44" s="66"/>
      <c r="U44" s="158">
        <f>IF(Q44&lt;$W$22,$W$22,IF(Q44&gt;=$W$22,Q44))</f>
        <v>2.8125852917934493</v>
      </c>
      <c r="V44" s="48"/>
      <c r="W44" s="39"/>
      <c r="X44" s="66"/>
      <c r="Y44" s="163">
        <f>$D$27/U44</f>
        <v>0.22618781169344621</v>
      </c>
      <c r="Z44" s="48"/>
      <c r="AC44" s="55"/>
      <c r="AD44" s="45"/>
      <c r="AE44" s="45"/>
      <c r="AF44" s="45"/>
      <c r="AG44" s="45"/>
      <c r="AH44" s="45"/>
      <c r="AI44" s="45"/>
      <c r="AJ44" s="45"/>
      <c r="AK44" s="45"/>
      <c r="AL44" s="45"/>
      <c r="AM44" s="45"/>
    </row>
    <row r="45" spans="1:39" ht="15" thickTop="1">
      <c r="A45" s="2" t="s">
        <v>58</v>
      </c>
      <c r="G45" s="31"/>
      <c r="H45" s="53" t="s">
        <v>45</v>
      </c>
      <c r="I45" s="39">
        <f>D33</f>
        <v>4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4"/>
      <c r="W45" s="34"/>
      <c r="X45" s="34"/>
      <c r="Y45" s="34"/>
      <c r="Z45" s="34"/>
      <c r="AC45" s="57"/>
      <c r="AD45" s="45"/>
      <c r="AE45" s="45"/>
      <c r="AF45" s="54"/>
      <c r="AG45" s="54"/>
      <c r="AH45" s="54"/>
      <c r="AI45" s="54"/>
      <c r="AJ45" s="54"/>
      <c r="AK45" s="54"/>
      <c r="AL45" s="45"/>
      <c r="AM45" s="45"/>
    </row>
    <row r="46" spans="1:39" ht="14.25">
      <c r="G46" s="31"/>
      <c r="AC46" s="60"/>
      <c r="AD46" s="45"/>
      <c r="AE46" s="45"/>
      <c r="AF46" s="61"/>
      <c r="AG46" s="61"/>
      <c r="AH46" s="61"/>
      <c r="AI46" s="61"/>
      <c r="AJ46" s="61"/>
      <c r="AK46" s="61"/>
      <c r="AL46" s="62"/>
      <c r="AM46" s="63"/>
    </row>
    <row r="47" spans="1:39" ht="14.25">
      <c r="G47" s="31"/>
      <c r="H47" s="137" t="s">
        <v>237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32"/>
      <c r="T47" s="32"/>
      <c r="U47" s="31"/>
      <c r="V47" s="31"/>
      <c r="W47" s="31"/>
      <c r="X47" s="31"/>
      <c r="Y47" s="32"/>
      <c r="Z47" s="32"/>
      <c r="AC47" s="57"/>
      <c r="AD47" s="45"/>
      <c r="AE47" s="45"/>
      <c r="AF47" s="54"/>
      <c r="AG47" s="54"/>
      <c r="AH47" s="54"/>
      <c r="AI47" s="54"/>
      <c r="AJ47" s="54"/>
      <c r="AK47" s="54"/>
      <c r="AL47" s="45"/>
      <c r="AM47" s="45"/>
    </row>
    <row r="48" spans="1:39" ht="14.25">
      <c r="G48" s="31"/>
      <c r="H48" s="32"/>
      <c r="I48" s="33" t="s">
        <v>34</v>
      </c>
      <c r="J48" s="32"/>
      <c r="K48" s="32"/>
      <c r="L48" s="32"/>
      <c r="M48" s="33" t="s">
        <v>35</v>
      </c>
      <c r="N48" s="32"/>
      <c r="O48" s="32"/>
      <c r="P48" s="32"/>
      <c r="Q48" s="33" t="s">
        <v>36</v>
      </c>
      <c r="R48" s="32"/>
      <c r="S48" s="34"/>
      <c r="T48" s="32"/>
      <c r="U48" s="141" t="s">
        <v>228</v>
      </c>
      <c r="V48" s="32"/>
      <c r="W48" s="31"/>
      <c r="X48" s="32"/>
      <c r="Y48" s="33" t="s">
        <v>37</v>
      </c>
      <c r="Z48" s="32"/>
      <c r="AC48" s="60"/>
      <c r="AD48" s="45"/>
      <c r="AE48" s="45"/>
      <c r="AF48" s="61"/>
      <c r="AG48" s="61"/>
      <c r="AH48" s="61"/>
      <c r="AI48" s="61"/>
      <c r="AJ48" s="61"/>
      <c r="AK48" s="61"/>
      <c r="AL48" s="62"/>
      <c r="AM48" s="63"/>
    </row>
    <row r="49" spans="3:39" ht="14.25">
      <c r="G49" s="31"/>
      <c r="H49" s="35"/>
      <c r="I49" s="164">
        <f>IF(D40&gt;0.5,1.1249303 - 6.8253905 * D40 + 16.6332529 * D40 ^ 2 - 18.9245369 * D40 ^ 3+ 8.7424728 *D40 ^ 4 + 0.3171068 *D40 ^ 5 - 1.0428365 * D40 ^ 6,IF(D40&lt;=0.5,0.045))</f>
        <v>2.4998899999998603E-2</v>
      </c>
      <c r="J49" s="36"/>
      <c r="K49" s="37"/>
      <c r="L49" s="35"/>
      <c r="M49" s="165">
        <f>I49*$N$22</f>
        <v>135.9940159999924</v>
      </c>
      <c r="N49" s="36"/>
      <c r="O49" s="37"/>
      <c r="P49" s="35"/>
      <c r="Q49" s="165">
        <f t="shared" ref="Q49:Q50" si="10">M49/$Q$22</f>
        <v>1.7149908642578067</v>
      </c>
      <c r="R49" s="36"/>
      <c r="S49" s="38"/>
      <c r="T49" s="35"/>
      <c r="U49" s="165">
        <f t="shared" ref="U49:U50" si="11">IF(Q49&lt;$W$22,$W$22,IF(Q49&gt;=$W$22,Q49))</f>
        <v>2.5</v>
      </c>
      <c r="V49" s="36"/>
      <c r="W49" s="39"/>
      <c r="X49" s="35"/>
      <c r="Y49" s="164">
        <f t="shared" ref="Y49:Y50" si="12">$D$27/U49</f>
        <v>0.25446900494077329</v>
      </c>
      <c r="Z49" s="36"/>
      <c r="AC49" s="57"/>
      <c r="AD49" s="45"/>
      <c r="AE49" s="45"/>
      <c r="AF49" s="54"/>
      <c r="AG49" s="54"/>
      <c r="AH49" s="54"/>
      <c r="AI49" s="54"/>
      <c r="AJ49" s="54"/>
      <c r="AK49" s="54"/>
      <c r="AL49" s="45"/>
      <c r="AM49" s="45"/>
    </row>
    <row r="50" spans="3:39" ht="14.25">
      <c r="F50" s="27" t="s">
        <v>40</v>
      </c>
      <c r="G50" s="39">
        <f>D32</f>
        <v>4</v>
      </c>
      <c r="H50" s="152">
        <v>4.9000000000000002E-2</v>
      </c>
      <c r="I50" s="22">
        <f>IF(D40&gt;0.5,1.9677603 - 12.3608981 * D40 + 31.1229464 * D40 ^ 2 - 36.7063071 *D40 ^ 3+ 17.678214 * D40 ^ 4 + 0.5993751 *D40 ^ 5 - 2.2640927 *D40 ^ 6,IF(D40&lt;=0.5,0.068))</f>
        <v>3.699790000000247E-2</v>
      </c>
      <c r="J50" s="154">
        <v>4.9000000000000002E-2</v>
      </c>
      <c r="K50" s="40"/>
      <c r="L50" s="159">
        <f>H50*$N$22</f>
        <v>266.56</v>
      </c>
      <c r="M50" s="41">
        <f>I50*$N$22</f>
        <v>201.26857600001344</v>
      </c>
      <c r="N50" s="160">
        <f>J50*$N$22</f>
        <v>266.56</v>
      </c>
      <c r="O50" s="40"/>
      <c r="P50" s="159">
        <f>L50/$Q$22</f>
        <v>3.3615300012655447</v>
      </c>
      <c r="Q50" s="41">
        <f t="shared" si="10"/>
        <v>2.5381540986496081</v>
      </c>
      <c r="R50" s="160">
        <f>N50/$Q$22</f>
        <v>3.3615300012655447</v>
      </c>
      <c r="S50" s="42"/>
      <c r="T50" s="159">
        <f>IF(P50&lt;$W$22,$W$22,IF(P50&gt;=$W$22,P50))</f>
        <v>3.3615300012655447</v>
      </c>
      <c r="U50" s="43">
        <f t="shared" si="11"/>
        <v>2.5381540986496081</v>
      </c>
      <c r="V50" s="160">
        <f>IF(R50&lt;$W$22,$W$22,IF(R50&gt;=$W$22,R50))</f>
        <v>3.3615300012655447</v>
      </c>
      <c r="W50" s="39"/>
      <c r="X50" s="161">
        <f>$D$27/T50</f>
        <v>0.18925088043611918</v>
      </c>
      <c r="Y50" s="26">
        <f t="shared" si="12"/>
        <v>0.25064377008882183</v>
      </c>
      <c r="Z50" s="162">
        <f>$D$27/V50</f>
        <v>0.18925088043611918</v>
      </c>
      <c r="AC50" s="45"/>
      <c r="AD50" s="45"/>
      <c r="AE50" s="45"/>
      <c r="AF50" s="61"/>
      <c r="AG50" s="61"/>
      <c r="AH50" s="61"/>
      <c r="AI50" s="61"/>
      <c r="AJ50" s="61"/>
      <c r="AK50" s="61"/>
      <c r="AL50" s="62"/>
      <c r="AM50" s="63"/>
    </row>
    <row r="51" spans="3:39" ht="14.25">
      <c r="H51" s="67"/>
      <c r="I51" s="170">
        <f>IF(D40&gt;0.5,1.1249303 - 6.8253905 * D40 + 16.6332529 * D40 ^ 2 - 18.9245369 * D40 ^ 3+ 8.7424728 *D40 ^ 4 + 0.3171068 *D40 ^ 5 - 1.0428365 * D40 ^ 6,IF(D40&lt;=0.5,0.045))</f>
        <v>2.4998899999998603E-2</v>
      </c>
      <c r="J51" s="68"/>
      <c r="K51" s="42"/>
      <c r="L51" s="67"/>
      <c r="M51" s="171">
        <f>I51*$N$22</f>
        <v>135.9940159999924</v>
      </c>
      <c r="N51" s="68"/>
      <c r="O51" s="42"/>
      <c r="P51" s="67"/>
      <c r="Q51" s="171">
        <f>M51/$Q$22</f>
        <v>1.7149908642578067</v>
      </c>
      <c r="R51" s="68"/>
      <c r="S51" s="40"/>
      <c r="T51" s="67"/>
      <c r="U51" s="171">
        <f>IF(Q51&lt;$W$22,$W$22,IF(Q51&gt;=$W$22,Q51))</f>
        <v>2.5</v>
      </c>
      <c r="V51" s="68"/>
      <c r="W51" s="39"/>
      <c r="X51" s="67"/>
      <c r="Y51" s="172">
        <f>$D$27/U51</f>
        <v>0.25446900494077329</v>
      </c>
      <c r="Z51" s="68"/>
      <c r="AC51" s="55"/>
      <c r="AD51" s="45"/>
      <c r="AE51" s="45"/>
      <c r="AF51" s="45"/>
      <c r="AG51" s="45"/>
      <c r="AH51" s="45"/>
      <c r="AI51" s="45"/>
      <c r="AJ51" s="45"/>
      <c r="AK51" s="45"/>
      <c r="AL51" s="45"/>
      <c r="AM51" s="45"/>
    </row>
    <row r="52" spans="3:39" ht="14.25">
      <c r="G52" s="31"/>
      <c r="H52" s="53" t="s">
        <v>45</v>
      </c>
      <c r="I52" s="39">
        <f>D33</f>
        <v>4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4"/>
      <c r="W52" s="34"/>
      <c r="X52" s="34"/>
      <c r="Y52" s="34"/>
      <c r="Z52" s="34"/>
      <c r="AC52" s="57"/>
      <c r="AD52" s="45"/>
      <c r="AE52" s="45"/>
      <c r="AF52" s="58"/>
      <c r="AG52" s="58"/>
      <c r="AH52" s="58"/>
      <c r="AI52" s="58"/>
      <c r="AJ52" s="58"/>
      <c r="AK52" s="58"/>
      <c r="AL52" s="45"/>
      <c r="AM52" s="45"/>
    </row>
    <row r="53" spans="3:39" ht="14.25">
      <c r="AC53" s="60"/>
      <c r="AD53" s="45"/>
      <c r="AE53" s="45"/>
      <c r="AF53" s="61"/>
      <c r="AG53" s="61"/>
      <c r="AH53" s="61"/>
      <c r="AI53" s="61"/>
      <c r="AJ53" s="61"/>
      <c r="AK53" s="61"/>
      <c r="AL53" s="62"/>
      <c r="AM53" s="63"/>
    </row>
    <row r="54" spans="3:39" ht="14.25">
      <c r="G54" s="31"/>
      <c r="H54" s="137" t="s">
        <v>238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32"/>
      <c r="T54" s="32"/>
      <c r="U54" s="31"/>
      <c r="V54" s="31"/>
      <c r="W54" s="31"/>
      <c r="X54" s="31"/>
      <c r="Y54" s="32"/>
      <c r="Z54" s="32"/>
      <c r="AC54" s="57"/>
      <c r="AD54" s="45"/>
      <c r="AE54" s="45"/>
      <c r="AF54" s="54"/>
      <c r="AG54" s="54"/>
      <c r="AH54" s="54"/>
      <c r="AI54" s="54"/>
      <c r="AJ54" s="54"/>
      <c r="AK54" s="54"/>
      <c r="AL54" s="45"/>
      <c r="AM54" s="45"/>
    </row>
    <row r="55" spans="3:39" ht="14.25">
      <c r="G55" s="31"/>
      <c r="H55" s="32"/>
      <c r="I55" s="33" t="s">
        <v>34</v>
      </c>
      <c r="J55" s="32"/>
      <c r="K55" s="32"/>
      <c r="L55" s="32"/>
      <c r="M55" s="33" t="s">
        <v>35</v>
      </c>
      <c r="N55" s="32"/>
      <c r="O55" s="32"/>
      <c r="P55" s="32"/>
      <c r="Q55" s="33" t="s">
        <v>36</v>
      </c>
      <c r="R55" s="32"/>
      <c r="S55" s="34"/>
      <c r="T55" s="32"/>
      <c r="U55" s="141" t="s">
        <v>228</v>
      </c>
      <c r="V55" s="32"/>
      <c r="W55" s="31"/>
      <c r="X55" s="32"/>
      <c r="Y55" s="33" t="s">
        <v>37</v>
      </c>
      <c r="Z55" s="32"/>
      <c r="AC55" s="45"/>
      <c r="AD55" s="45"/>
      <c r="AE55" s="45"/>
      <c r="AF55" s="61"/>
      <c r="AG55" s="61"/>
      <c r="AH55" s="61"/>
      <c r="AI55" s="61"/>
      <c r="AJ55" s="61"/>
      <c r="AK55" s="61"/>
      <c r="AL55" s="62"/>
      <c r="AM55" s="63"/>
    </row>
    <row r="56" spans="3:39" ht="14.25">
      <c r="C56" s="178"/>
      <c r="G56" s="31"/>
      <c r="H56" s="69"/>
      <c r="I56" s="164">
        <f>IF(D40&gt;0.5,1.1249303 - 6.8253905 * D40 + 16.6332529 * D40 ^ 2 - 18.9245369 * D40 ^ 3+ 8.7424728 *D40 ^ 4 + 0.3171068 *D40 ^ 5 - 1.0428365 * D40 ^ 6,IF(D40&lt;=0.5,0.045))</f>
        <v>2.4998899999998603E-2</v>
      </c>
      <c r="J56" s="36"/>
      <c r="K56" s="37"/>
      <c r="L56" s="69"/>
      <c r="M56" s="165">
        <f>I56*$N$22</f>
        <v>135.9940159999924</v>
      </c>
      <c r="N56" s="36"/>
      <c r="O56" s="37"/>
      <c r="P56" s="69"/>
      <c r="Q56" s="165">
        <f t="shared" ref="Q56:Q57" si="13">M56/$Q$22</f>
        <v>1.7149908642578067</v>
      </c>
      <c r="R56" s="36"/>
      <c r="S56" s="38"/>
      <c r="T56" s="69"/>
      <c r="U56" s="165">
        <f t="shared" ref="U56:U57" si="14">IF(Q56&lt;$W$22,$W$22,IF(Q56&gt;=$W$22,Q56))</f>
        <v>2.5</v>
      </c>
      <c r="V56" s="36"/>
      <c r="W56" s="39"/>
      <c r="X56" s="69"/>
      <c r="Y56" s="164">
        <f t="shared" ref="Y56:Y57" si="15">$D$27/U56</f>
        <v>0.25446900494077329</v>
      </c>
      <c r="Z56" s="36"/>
      <c r="AC56" s="55"/>
      <c r="AD56" s="45"/>
      <c r="AE56" s="45"/>
      <c r="AF56" s="45"/>
      <c r="AG56" s="45"/>
      <c r="AH56" s="45"/>
      <c r="AI56" s="45"/>
      <c r="AJ56" s="45"/>
      <c r="AK56" s="45"/>
      <c r="AL56" s="45"/>
      <c r="AM56" s="45"/>
    </row>
    <row r="57" spans="3:39" ht="14.25">
      <c r="F57" s="27" t="s">
        <v>40</v>
      </c>
      <c r="G57" s="39">
        <f>D32</f>
        <v>4</v>
      </c>
      <c r="H57" s="166">
        <v>2.5000000000000001E-2</v>
      </c>
      <c r="I57" s="22">
        <f>IF(D40&gt;0.5,1.9677603 - 12.3608981 * D40 + 31.1229464 * D40 ^ 2 - 36.7063071 *D40 ^ 3+ 17.678214 * D40 ^ 4 + 0.5993751 *D40 ^ 5 - 2.2640927 *D40 ^ 6,IF(D40&lt;=0.5,0.068))</f>
        <v>3.699790000000247E-2</v>
      </c>
      <c r="J57" s="154">
        <v>4.9000000000000002E-2</v>
      </c>
      <c r="K57" s="40"/>
      <c r="L57" s="168">
        <f>H57*$N$22</f>
        <v>136</v>
      </c>
      <c r="M57" s="41">
        <f>I57*$N$22</f>
        <v>201.26857600001344</v>
      </c>
      <c r="N57" s="160">
        <f>J57*$N$22</f>
        <v>266.56</v>
      </c>
      <c r="O57" s="40"/>
      <c r="P57" s="168">
        <f>L57/$Q$22</f>
        <v>1.7150663271762983</v>
      </c>
      <c r="Q57" s="41">
        <f t="shared" si="13"/>
        <v>2.5381540986496081</v>
      </c>
      <c r="R57" s="160">
        <f>N57/$Q$22</f>
        <v>3.3615300012655447</v>
      </c>
      <c r="S57" s="42"/>
      <c r="T57" s="168">
        <f>IF(P57&lt;$W$22,$W$22,IF(P57&gt;=$W$22,P57))</f>
        <v>2.5</v>
      </c>
      <c r="U57" s="43">
        <f t="shared" si="14"/>
        <v>2.5381540986496081</v>
      </c>
      <c r="V57" s="160">
        <f>IF(R57&lt;$W$22,$W$22,IF(R57&gt;=$W$22,R57))</f>
        <v>3.3615300012655447</v>
      </c>
      <c r="W57" s="39"/>
      <c r="X57" s="169">
        <f>$D$27/T57</f>
        <v>0.25446900494077329</v>
      </c>
      <c r="Y57" s="26">
        <f t="shared" si="15"/>
        <v>0.25064377008882183</v>
      </c>
      <c r="Z57" s="162">
        <f>$D$27/V57</f>
        <v>0.18925088043611918</v>
      </c>
      <c r="AC57" s="57"/>
      <c r="AD57" s="45"/>
      <c r="AE57" s="45"/>
      <c r="AF57" s="58"/>
      <c r="AG57" s="58"/>
      <c r="AH57" s="58"/>
      <c r="AI57" s="58"/>
      <c r="AJ57" s="58"/>
      <c r="AK57" s="58"/>
      <c r="AL57" s="45"/>
      <c r="AM57" s="45"/>
    </row>
    <row r="58" spans="3:39" ht="15" thickBot="1">
      <c r="H58" s="66"/>
      <c r="I58" s="153">
        <f>IF(D40&gt;0.5,1.3654114 - 7.8903312 * D40 + 19.0024102 *D40 ^ 2 - 21.6132496 * D40 ^ 3+ 10.0580798 * D40 ^ 4 + 0.3727742 *D40 ^ 5 - 1.2460959 *D40 ^ 6,IF(D40&lt;=0.5,0.09))</f>
        <v>4.8998900000000845E-2</v>
      </c>
      <c r="J58" s="48"/>
      <c r="K58" s="42"/>
      <c r="L58" s="66"/>
      <c r="M58" s="158">
        <f>I58*$N$22</f>
        <v>266.55401600000459</v>
      </c>
      <c r="N58" s="48"/>
      <c r="O58" s="42"/>
      <c r="P58" s="66"/>
      <c r="Q58" s="158">
        <f>M58/$Q$22</f>
        <v>3.361454538347207</v>
      </c>
      <c r="R58" s="48"/>
      <c r="S58" s="40"/>
      <c r="T58" s="66"/>
      <c r="U58" s="158">
        <f>IF(Q58&lt;$W$22,$W$22,IF(Q58&gt;=$W$22,Q58))</f>
        <v>3.361454538347207</v>
      </c>
      <c r="V58" s="48"/>
      <c r="W58" s="39"/>
      <c r="X58" s="66"/>
      <c r="Y58" s="163">
        <f>$D$27/U58</f>
        <v>0.18925512902064495</v>
      </c>
      <c r="Z58" s="48"/>
      <c r="AC58" s="60"/>
      <c r="AD58" s="45"/>
      <c r="AE58" s="45"/>
      <c r="AF58" s="61"/>
      <c r="AG58" s="61"/>
      <c r="AH58" s="61"/>
      <c r="AI58" s="61"/>
      <c r="AJ58" s="61"/>
      <c r="AK58" s="61"/>
      <c r="AL58" s="62"/>
      <c r="AM58" s="63"/>
    </row>
    <row r="59" spans="3:39" ht="15" thickTop="1">
      <c r="G59" s="31"/>
      <c r="H59" s="53" t="s">
        <v>45</v>
      </c>
      <c r="I59" s="39">
        <f>D33</f>
        <v>4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4"/>
      <c r="W59" s="34"/>
      <c r="X59" s="34"/>
      <c r="Y59" s="34"/>
      <c r="Z59" s="34"/>
      <c r="AC59" s="57"/>
      <c r="AD59" s="45"/>
      <c r="AE59" s="45"/>
      <c r="AF59" s="58"/>
      <c r="AG59" s="58"/>
      <c r="AH59" s="58"/>
      <c r="AI59" s="58"/>
      <c r="AJ59" s="58"/>
      <c r="AK59" s="58"/>
      <c r="AL59" s="45"/>
      <c r="AM59" s="45"/>
    </row>
    <row r="60" spans="3:39" ht="14.25"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C60" s="57"/>
      <c r="AD60" s="45"/>
      <c r="AE60" s="45"/>
      <c r="AF60" s="58"/>
      <c r="AG60" s="58"/>
      <c r="AH60" s="58"/>
      <c r="AI60" s="58"/>
      <c r="AJ60" s="58"/>
      <c r="AK60" s="58"/>
      <c r="AL60" s="45"/>
      <c r="AM60" s="45"/>
    </row>
    <row r="61" spans="3:39" ht="14.25">
      <c r="G61" s="31"/>
      <c r="H61" s="137" t="s">
        <v>239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32"/>
      <c r="T61" s="32"/>
      <c r="U61" s="31"/>
      <c r="V61" s="31"/>
      <c r="W61" s="31"/>
      <c r="X61" s="31"/>
      <c r="Y61" s="32"/>
      <c r="Z61" s="32"/>
      <c r="AC61" s="45"/>
      <c r="AD61" s="45"/>
      <c r="AE61" s="45"/>
      <c r="AF61" s="61"/>
      <c r="AG61" s="61"/>
      <c r="AH61" s="61"/>
      <c r="AI61" s="61"/>
      <c r="AJ61" s="61"/>
      <c r="AK61" s="61"/>
      <c r="AL61" s="62"/>
      <c r="AM61" s="63"/>
    </row>
    <row r="62" spans="3:39" ht="15" thickBot="1">
      <c r="G62" s="31"/>
      <c r="H62" s="32"/>
      <c r="I62" s="33" t="s">
        <v>34</v>
      </c>
      <c r="J62" s="32"/>
      <c r="K62" s="32"/>
      <c r="L62" s="32"/>
      <c r="M62" s="33" t="s">
        <v>35</v>
      </c>
      <c r="N62" s="32"/>
      <c r="O62" s="32"/>
      <c r="P62" s="32"/>
      <c r="Q62" s="33" t="s">
        <v>36</v>
      </c>
      <c r="R62" s="32"/>
      <c r="S62" s="34"/>
      <c r="T62" s="32"/>
      <c r="U62" s="141" t="s">
        <v>228</v>
      </c>
      <c r="V62" s="32"/>
      <c r="W62" s="31"/>
      <c r="X62" s="32"/>
      <c r="Y62" s="33" t="s">
        <v>37</v>
      </c>
      <c r="Z62" s="32"/>
      <c r="AC62" s="55"/>
      <c r="AD62" s="45"/>
      <c r="AE62" s="45"/>
      <c r="AF62" s="70"/>
      <c r="AG62" s="70"/>
      <c r="AH62" s="70"/>
      <c r="AI62" s="70"/>
      <c r="AJ62" s="70"/>
      <c r="AK62" s="70"/>
      <c r="AL62" s="45"/>
      <c r="AM62" s="45"/>
    </row>
    <row r="63" spans="3:39" ht="15" thickTop="1">
      <c r="G63" s="31"/>
      <c r="H63" s="64"/>
      <c r="I63" s="142">
        <f>IF(D40&gt;0.5,1.3654114 - 7.8903312 * D40 + 19.0024102 *D40 ^ 2 - 21.6132496 * D40 ^ 3+ 10.0580798 * D40 ^ 4 + 0.3727742 *D40 ^ 5 - 1.2460959 *D40 ^ 6,IF(D40&lt;=0.5,0.09))</f>
        <v>4.8998900000000845E-2</v>
      </c>
      <c r="J63" s="71"/>
      <c r="K63" s="37"/>
      <c r="L63" s="64"/>
      <c r="M63" s="156">
        <f>I63*$N$22</f>
        <v>266.55401600000459</v>
      </c>
      <c r="N63" s="71"/>
      <c r="O63" s="37"/>
      <c r="P63" s="64"/>
      <c r="Q63" s="156">
        <f t="shared" ref="Q63:Q64" si="16">M63/$Q$22</f>
        <v>3.361454538347207</v>
      </c>
      <c r="R63" s="71"/>
      <c r="S63" s="38"/>
      <c r="T63" s="64"/>
      <c r="U63" s="156">
        <f t="shared" ref="U63:U64" si="17">IF(Q63&lt;$W$22,$W$22,IF(Q63&gt;=$W$22,Q63))</f>
        <v>3.361454538347207</v>
      </c>
      <c r="V63" s="71"/>
      <c r="W63" s="39"/>
      <c r="X63" s="64"/>
      <c r="Y63" s="142">
        <f t="shared" ref="Y63:Y64" si="18">$D$27/U63</f>
        <v>0.18925512902064495</v>
      </c>
      <c r="Z63" s="71"/>
      <c r="AC63" s="57"/>
      <c r="AD63" s="45"/>
      <c r="AE63" s="45"/>
      <c r="AF63" s="58"/>
      <c r="AG63" s="58"/>
      <c r="AH63" s="58"/>
      <c r="AI63" s="58"/>
      <c r="AJ63" s="58"/>
      <c r="AK63" s="58"/>
      <c r="AL63" s="45"/>
      <c r="AM63" s="45"/>
    </row>
    <row r="64" spans="3:39" ht="14.25">
      <c r="F64" s="27" t="s">
        <v>40</v>
      </c>
      <c r="G64" s="39">
        <f>D32</f>
        <v>4</v>
      </c>
      <c r="H64" s="166">
        <v>2.5000000000000001E-2</v>
      </c>
      <c r="I64" s="22">
        <f>IF(D40&gt;0.5,1.9677603 - 12.3608981 * D40 + 31.1229464 * D40 ^ 2 - 36.7063071 *D40 ^ 3+ 17.678214 * D40 ^ 4 + 0.5993751 *D40 ^ 5 - 2.2640927 *D40 ^ 6,IF(D40&lt;=0.5,0.068))</f>
        <v>3.699790000000247E-2</v>
      </c>
      <c r="J64" s="175">
        <v>2.5000000000000001E-2</v>
      </c>
      <c r="K64" s="40"/>
      <c r="L64" s="168">
        <f>H64*$N$22</f>
        <v>136</v>
      </c>
      <c r="M64" s="41">
        <f>I64*$N$22</f>
        <v>201.26857600001344</v>
      </c>
      <c r="N64" s="173">
        <f>J64*$N$22</f>
        <v>136</v>
      </c>
      <c r="O64" s="40"/>
      <c r="P64" s="168">
        <f>L64/$Q$22</f>
        <v>1.7150663271762983</v>
      </c>
      <c r="Q64" s="41">
        <f t="shared" si="16"/>
        <v>2.5381540986496081</v>
      </c>
      <c r="R64" s="173">
        <f>N64/$Q$22</f>
        <v>1.7150663271762983</v>
      </c>
      <c r="S64" s="42"/>
      <c r="T64" s="168">
        <f>IF(P64&lt;$W$22,$W$22,IF(P64&gt;=$W$22,P64))</f>
        <v>2.5</v>
      </c>
      <c r="U64" s="43">
        <f t="shared" si="17"/>
        <v>2.5381540986496081</v>
      </c>
      <c r="V64" s="173">
        <f>IF(R64&lt;$W$22,$W$22,IF(R64&gt;=$W$22,R64))</f>
        <v>2.5</v>
      </c>
      <c r="W64" s="39"/>
      <c r="X64" s="169">
        <f>$D$27/T64</f>
        <v>0.25446900494077329</v>
      </c>
      <c r="Y64" s="26">
        <f t="shared" si="18"/>
        <v>0.25064377008882183</v>
      </c>
      <c r="Z64" s="174">
        <f>$D$27/V64</f>
        <v>0.25446900494077329</v>
      </c>
      <c r="AC64" s="60"/>
      <c r="AD64" s="45"/>
      <c r="AE64" s="45"/>
      <c r="AF64" s="61"/>
      <c r="AG64" s="61"/>
      <c r="AH64" s="61"/>
      <c r="AI64" s="61"/>
      <c r="AJ64" s="61"/>
      <c r="AK64" s="61"/>
      <c r="AL64" s="62"/>
      <c r="AM64" s="63"/>
    </row>
    <row r="65" spans="6:39" ht="15" thickBot="1">
      <c r="H65" s="66"/>
      <c r="I65" s="153">
        <f>IF(D40&gt;0.5,1.3654114 - 7.8903312 * D40 + 19.0024102 *D40 ^ 2 - 21.6132496 * D40 ^ 3+ 10.0580798 * D40 ^ 4 + 0.3727742 *D40 ^ 5 - 1.2460959 *D40 ^ 6,IF(D40&lt;=0.5,0.09))</f>
        <v>4.8998900000000845E-2</v>
      </c>
      <c r="J65" s="72"/>
      <c r="K65" s="42"/>
      <c r="L65" s="66"/>
      <c r="M65" s="158">
        <f>I65*$N$22</f>
        <v>266.55401600000459</v>
      </c>
      <c r="N65" s="72"/>
      <c r="O65" s="42"/>
      <c r="P65" s="66"/>
      <c r="Q65" s="158">
        <f>M65/$Q$22</f>
        <v>3.361454538347207</v>
      </c>
      <c r="R65" s="72"/>
      <c r="S65" s="40"/>
      <c r="T65" s="66"/>
      <c r="U65" s="158">
        <f>IF(Q65&lt;$W$22,$W$22,IF(Q65&gt;=$W$22,Q65))</f>
        <v>3.361454538347207</v>
      </c>
      <c r="V65" s="72"/>
      <c r="W65" s="39"/>
      <c r="X65" s="66"/>
      <c r="Y65" s="163">
        <f>$D$27/U65</f>
        <v>0.18925512902064495</v>
      </c>
      <c r="Z65" s="72"/>
      <c r="AC65" s="57"/>
      <c r="AD65" s="45"/>
      <c r="AE65" s="45"/>
      <c r="AF65" s="58"/>
      <c r="AG65" s="58"/>
      <c r="AH65" s="58"/>
      <c r="AI65" s="58"/>
      <c r="AJ65" s="58"/>
      <c r="AK65" s="58"/>
      <c r="AL65" s="45"/>
      <c r="AM65" s="45"/>
    </row>
    <row r="66" spans="6:39" ht="15" thickTop="1">
      <c r="G66" s="31"/>
      <c r="H66" s="53" t="s">
        <v>45</v>
      </c>
      <c r="I66" s="39">
        <f>D33</f>
        <v>4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4"/>
      <c r="W66" s="34"/>
      <c r="X66" s="34"/>
      <c r="Y66" s="34"/>
      <c r="Z66" s="34"/>
      <c r="AC66" s="45"/>
      <c r="AD66" s="45"/>
      <c r="AE66" s="45"/>
      <c r="AF66" s="61"/>
      <c r="AG66" s="61"/>
      <c r="AH66" s="61"/>
      <c r="AI66" s="61"/>
      <c r="AJ66" s="61"/>
      <c r="AK66" s="61"/>
      <c r="AL66" s="62"/>
      <c r="AM66" s="63"/>
    </row>
    <row r="67" spans="6:39" ht="14.25"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73"/>
      <c r="AA67" s="45"/>
      <c r="AB67" s="45"/>
      <c r="AC67" s="45"/>
      <c r="AD67" s="45"/>
      <c r="AE67" s="45"/>
      <c r="AF67" s="45"/>
      <c r="AG67" s="45"/>
      <c r="AH67" s="45"/>
      <c r="AI67" s="45"/>
      <c r="AJ67" s="45"/>
    </row>
    <row r="68" spans="6:39" ht="12.75">
      <c r="G68" s="31"/>
      <c r="H68" s="137" t="s">
        <v>240</v>
      </c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32"/>
      <c r="T68" s="32"/>
      <c r="U68" s="31"/>
      <c r="V68" s="31"/>
      <c r="W68" s="31"/>
      <c r="X68" s="31"/>
      <c r="Y68" s="32"/>
      <c r="Z68" s="32"/>
    </row>
    <row r="69" spans="6:39" ht="12.75">
      <c r="G69" s="31"/>
      <c r="H69" s="32"/>
      <c r="I69" s="33" t="s">
        <v>34</v>
      </c>
      <c r="J69" s="32"/>
      <c r="K69" s="32"/>
      <c r="L69" s="32"/>
      <c r="M69" s="33" t="s">
        <v>35</v>
      </c>
      <c r="N69" s="32"/>
      <c r="O69" s="32"/>
      <c r="P69" s="32"/>
      <c r="Q69" s="33" t="s">
        <v>36</v>
      </c>
      <c r="R69" s="32"/>
      <c r="S69" s="34"/>
      <c r="T69" s="32"/>
      <c r="U69" s="141" t="s">
        <v>228</v>
      </c>
      <c r="V69" s="32"/>
      <c r="W69" s="31"/>
      <c r="X69" s="32"/>
      <c r="Y69" s="33" t="s">
        <v>37</v>
      </c>
      <c r="Z69" s="32"/>
    </row>
    <row r="70" spans="6:39" ht="13.5" thickTop="1">
      <c r="G70" s="31"/>
      <c r="H70" s="64"/>
      <c r="I70" s="142">
        <f>IF(D40&gt;0.5,0.1325529 - 0.0393518 *D40 - 0.1221849 * D40 ^ 2 + 0.1883512 * D40 ^ 3- 0.1556538 * D40 ^ 4 + 0.0643443 * D40 ^ 5 - 0.0100579 * D40 ^ 6,IF(D40&lt;=0.5,0.098))</f>
        <v>5.7999999999999975E-2</v>
      </c>
      <c r="J70" s="71"/>
      <c r="K70" s="37"/>
      <c r="L70" s="64"/>
      <c r="M70" s="156">
        <f>I70*$N$22</f>
        <v>315.51999999999987</v>
      </c>
      <c r="N70" s="71"/>
      <c r="O70" s="37"/>
      <c r="P70" s="74"/>
      <c r="Q70" s="156">
        <f t="shared" ref="Q70:Q71" si="19">M70/$Q$22</f>
        <v>3.9789538790490102</v>
      </c>
      <c r="R70" s="75"/>
      <c r="S70" s="38"/>
      <c r="T70" s="74"/>
      <c r="U70" s="156">
        <f t="shared" ref="U70:U71" si="20">IF(Q70&lt;$W$22,$W$22,IF(Q70&gt;=$W$22,Q70))</f>
        <v>3.9789538790490102</v>
      </c>
      <c r="V70" s="75"/>
      <c r="W70" s="39"/>
      <c r="X70" s="64"/>
      <c r="Y70" s="142">
        <f t="shared" ref="Y70:Y71" si="21">$D$27/U70</f>
        <v>0.15988436450637664</v>
      </c>
      <c r="Z70" s="71"/>
    </row>
    <row r="71" spans="6:39" ht="12.75">
      <c r="F71" s="27" t="s">
        <v>40</v>
      </c>
      <c r="G71" s="39">
        <f>D32</f>
        <v>4</v>
      </c>
      <c r="H71" s="166">
        <v>2.9000000000000001E-2</v>
      </c>
      <c r="I71" s="22">
        <f>IF(D40&gt;0.5,0.1008733 - 0.036673 * D40 - 0.0700962 * D40 ^ 2 + 0.1080064 * D40 ^ 3- 0.0891976 * D40 ^ 4 + 0.0368338 * D40 ^ 5 - 0.0057466 * D40 ^ 6,IF(D40&lt;=0.5,0.074))</f>
        <v>4.4000100000000007E-2</v>
      </c>
      <c r="J71" s="175">
        <v>2.9000000000000001E-2</v>
      </c>
      <c r="K71" s="40"/>
      <c r="L71" s="168">
        <f>H71*$N$22</f>
        <v>157.76000000000002</v>
      </c>
      <c r="M71" s="43">
        <f>I71*$N$22</f>
        <v>239.36054400000003</v>
      </c>
      <c r="N71" s="173">
        <f>J71*$N$22</f>
        <v>157.76000000000002</v>
      </c>
      <c r="O71" s="40"/>
      <c r="P71" s="168">
        <f>L71/$Q$22</f>
        <v>1.9894769395245062</v>
      </c>
      <c r="Q71" s="43">
        <f t="shared" si="19"/>
        <v>3.0185235960955943</v>
      </c>
      <c r="R71" s="173">
        <f>N71/$Q$22</f>
        <v>1.9894769395245062</v>
      </c>
      <c r="S71" s="42"/>
      <c r="T71" s="168">
        <f>IF(P71&lt;$W$22,$W$22,IF(P71&gt;=$W$22,P71))</f>
        <v>2.5</v>
      </c>
      <c r="U71" s="43">
        <f t="shared" si="20"/>
        <v>3.0185235960955943</v>
      </c>
      <c r="V71" s="173">
        <f>IF(R71&lt;$W$22,$W$22,IF(R71&gt;=$W$22,R71))</f>
        <v>2.5</v>
      </c>
      <c r="W71" s="39"/>
      <c r="X71" s="169">
        <f>$D$27/T71</f>
        <v>0.25446900494077329</v>
      </c>
      <c r="Y71" s="76">
        <f t="shared" si="21"/>
        <v>0.21075618331253426</v>
      </c>
      <c r="Z71" s="174">
        <f>$D$27/V71</f>
        <v>0.25446900494077329</v>
      </c>
    </row>
    <row r="72" spans="6:39" ht="12.75">
      <c r="H72" s="77"/>
      <c r="I72" s="170">
        <f>IF(D40&gt;0.5,0.0662835 - 0.0197277 * D40 - 0.0609405 * D40 ^ 2 + 0.0939494 * D40 ^ 3- 0.0776498 * D40 ^ 4 + 0.0321054 * D40 ^ 5 - 0.0050203 * D40 ^ 6,IF(D40&lt;=0.5,0.049))</f>
        <v>2.8999999999999984E-2</v>
      </c>
      <c r="J72" s="78"/>
      <c r="K72" s="42"/>
      <c r="L72" s="77"/>
      <c r="M72" s="171">
        <f>I72*$N$22</f>
        <v>157.75999999999991</v>
      </c>
      <c r="N72" s="78"/>
      <c r="O72" s="42"/>
      <c r="P72" s="79"/>
      <c r="Q72" s="171">
        <f>M72/$Q$22</f>
        <v>1.9894769395245049</v>
      </c>
      <c r="R72" s="80"/>
      <c r="S72" s="40"/>
      <c r="T72" s="79"/>
      <c r="U72" s="171">
        <f>IF(Q72&lt;$W$22,$W$22,IF(Q72&gt;=$W$22,Q72))</f>
        <v>2.5</v>
      </c>
      <c r="V72" s="80"/>
      <c r="W72" s="39"/>
      <c r="X72" s="77"/>
      <c r="Y72" s="172">
        <f>$D$27/U72</f>
        <v>0.25446900494077329</v>
      </c>
      <c r="Z72" s="78"/>
    </row>
    <row r="73" spans="6:39" ht="12.75">
      <c r="G73" s="31"/>
      <c r="H73" s="53" t="s">
        <v>45</v>
      </c>
      <c r="I73" s="39">
        <f>D33</f>
        <v>4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4"/>
      <c r="W73" s="34"/>
      <c r="X73" s="34"/>
      <c r="Y73" s="34"/>
      <c r="Z73" s="34"/>
    </row>
    <row r="74" spans="6:39" ht="12.75"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6:39" ht="12.75">
      <c r="G75" s="31"/>
      <c r="H75" s="137" t="s">
        <v>241</v>
      </c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32"/>
      <c r="T75" s="32"/>
      <c r="U75" s="31"/>
      <c r="V75" s="31"/>
      <c r="W75" s="31"/>
      <c r="X75" s="31"/>
      <c r="Y75" s="32"/>
      <c r="Z75" s="32"/>
    </row>
    <row r="76" spans="6:39" ht="12.75">
      <c r="G76" s="31"/>
      <c r="H76" s="32"/>
      <c r="I76" s="33" t="s">
        <v>34</v>
      </c>
      <c r="J76" s="32"/>
      <c r="K76" s="32"/>
      <c r="L76" s="32"/>
      <c r="M76" s="33" t="s">
        <v>35</v>
      </c>
      <c r="N76" s="32"/>
      <c r="O76" s="32"/>
      <c r="P76" s="32"/>
      <c r="Q76" s="33" t="s">
        <v>36</v>
      </c>
      <c r="R76" s="32"/>
      <c r="S76" s="34"/>
      <c r="T76" s="32"/>
      <c r="U76" s="141" t="s">
        <v>228</v>
      </c>
      <c r="V76" s="32"/>
      <c r="W76" s="31"/>
      <c r="X76" s="32"/>
      <c r="Y76" s="33" t="s">
        <v>37</v>
      </c>
      <c r="Z76" s="32"/>
    </row>
    <row r="77" spans="6:39" ht="12.75">
      <c r="G77" s="31"/>
      <c r="H77" s="35"/>
      <c r="I77" s="164">
        <f>IF(D40&gt;0.5,0.0662835 - 0.0197277 * D40 - 0.0609405 * D40 ^ 2 + 0.0939494 * D40 ^ 3- 0.0776498 * D40 ^ 4 + 0.0321054 * D40 ^ 5 - 0.0050203 * D40 ^ 6,IF(D40&lt;=0.5,0.049))</f>
        <v>2.8999999999999984E-2</v>
      </c>
      <c r="J77" s="81"/>
      <c r="K77" s="37"/>
      <c r="L77" s="35"/>
      <c r="M77" s="165">
        <f>I77*$N$22</f>
        <v>157.75999999999991</v>
      </c>
      <c r="N77" s="81"/>
      <c r="O77" s="37"/>
      <c r="P77" s="35"/>
      <c r="Q77" s="165">
        <f t="shared" ref="Q77:Q78" si="22">M77/$Q$22</f>
        <v>1.9894769395245049</v>
      </c>
      <c r="R77" s="81"/>
      <c r="S77" s="38"/>
      <c r="T77" s="35"/>
      <c r="U77" s="165">
        <f t="shared" ref="U77:U78" si="23">IF(Q77&lt;$W$22,$W$22,IF(Q77&gt;=$W$22,Q77))</f>
        <v>2.5</v>
      </c>
      <c r="V77" s="81"/>
      <c r="W77" s="39"/>
      <c r="X77" s="35"/>
      <c r="Y77" s="164">
        <f t="shared" ref="Y77:Y78" si="24">$D$27/U77</f>
        <v>0.25446900494077329</v>
      </c>
      <c r="Z77" s="81"/>
    </row>
    <row r="78" spans="6:39" ht="12.75">
      <c r="F78" s="27" t="s">
        <v>40</v>
      </c>
      <c r="G78" s="39">
        <f>D32</f>
        <v>4</v>
      </c>
      <c r="H78" s="152">
        <v>5.8000000000000003E-2</v>
      </c>
      <c r="I78" s="22">
        <f>IF(D40&gt;0.5,0.1008733 - 0.036673 * D40 - 0.0700962 * D40 ^ 2 + 0.1080064 * D40 ^ 3- 0.0891976 * D40 ^ 4 + 0.0368338 * D40 ^ 5 - 0.0057466 * D40 ^ 6,IF(D40&lt;=0.5,0.074))</f>
        <v>4.4000100000000007E-2</v>
      </c>
      <c r="J78" s="175">
        <v>2.9000000000000001E-2</v>
      </c>
      <c r="K78" s="40"/>
      <c r="L78" s="159">
        <f>H78*$N$22</f>
        <v>315.52000000000004</v>
      </c>
      <c r="M78" s="41">
        <f>I78*$N$22</f>
        <v>239.36054400000003</v>
      </c>
      <c r="N78" s="173">
        <f>J78*$N$22</f>
        <v>157.76000000000002</v>
      </c>
      <c r="O78" s="40"/>
      <c r="P78" s="159">
        <f>L78/$Q$22</f>
        <v>3.9789538790490124</v>
      </c>
      <c r="Q78" s="41">
        <f t="shared" si="22"/>
        <v>3.0185235960955943</v>
      </c>
      <c r="R78" s="173">
        <f>N78/$Q$22</f>
        <v>1.9894769395245062</v>
      </c>
      <c r="S78" s="42"/>
      <c r="T78" s="159">
        <f>IF(P78&lt;$W$22,$W$22,IF(P78&gt;=$W$22,P78))</f>
        <v>3.9789538790490124</v>
      </c>
      <c r="U78" s="43">
        <f t="shared" si="23"/>
        <v>3.0185235960955943</v>
      </c>
      <c r="V78" s="173">
        <f>IF(R78&lt;$W$22,$W$22,IF(R78&gt;=$W$22,R78))</f>
        <v>2.5</v>
      </c>
      <c r="W78" s="39"/>
      <c r="X78" s="161">
        <f>$D$27/T78</f>
        <v>0.15988436450637655</v>
      </c>
      <c r="Y78" s="26">
        <f t="shared" si="24"/>
        <v>0.21075618331253426</v>
      </c>
      <c r="Z78" s="174">
        <f>$D$27/V78</f>
        <v>0.25446900494077329</v>
      </c>
    </row>
    <row r="79" spans="6:39" ht="12.75">
      <c r="H79" s="67"/>
      <c r="I79" s="170">
        <f>IF(D40&gt;0.5,0.0662835 - 0.0197277 * D40 - 0.0609405 * D40 ^ 2 + 0.0939494 * D40 ^ 3- 0.0776498 * D40 ^ 4 + 0.0321054 * D40 ^ 5 - 0.0050203 * D40 ^ 6,IF(D40&lt;=0.5,0.049))</f>
        <v>2.8999999999999984E-2</v>
      </c>
      <c r="J79" s="78"/>
      <c r="K79" s="42"/>
      <c r="L79" s="67"/>
      <c r="M79" s="171">
        <f>I79*$N$22</f>
        <v>157.75999999999991</v>
      </c>
      <c r="N79" s="78"/>
      <c r="O79" s="42"/>
      <c r="P79" s="67"/>
      <c r="Q79" s="171">
        <f>M79/$Q$22</f>
        <v>1.9894769395245049</v>
      </c>
      <c r="R79" s="78"/>
      <c r="S79" s="40"/>
      <c r="T79" s="67"/>
      <c r="U79" s="171">
        <f>IF(Q79&lt;$W$22,$W$22,IF(Q79&gt;=$W$22,Q79))</f>
        <v>2.5</v>
      </c>
      <c r="V79" s="78"/>
      <c r="W79" s="39"/>
      <c r="X79" s="67"/>
      <c r="Y79" s="172">
        <f>$D$27/U79</f>
        <v>0.25446900494077329</v>
      </c>
      <c r="Z79" s="78"/>
    </row>
    <row r="80" spans="6:39" ht="12.75">
      <c r="G80" s="31"/>
      <c r="H80" s="53" t="s">
        <v>45</v>
      </c>
      <c r="I80" s="39">
        <f>D33</f>
        <v>4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4"/>
      <c r="W80" s="34"/>
      <c r="X80" s="34"/>
      <c r="Y80" s="34"/>
      <c r="Z80" s="34"/>
    </row>
    <row r="81" spans="1:26" ht="12.75"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2.75">
      <c r="G82" s="31"/>
      <c r="H82" s="137" t="s">
        <v>242</v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32"/>
      <c r="T82" s="32"/>
      <c r="U82" s="31"/>
      <c r="V82" s="31"/>
      <c r="W82" s="31"/>
      <c r="X82" s="31"/>
      <c r="Y82" s="32"/>
      <c r="Z82" s="32"/>
    </row>
    <row r="83" spans="1:26" ht="12.75">
      <c r="G83" s="31"/>
      <c r="H83" s="32"/>
      <c r="I83" s="33" t="s">
        <v>34</v>
      </c>
      <c r="J83" s="32"/>
      <c r="K83" s="32"/>
      <c r="L83" s="32"/>
      <c r="M83" s="33" t="s">
        <v>35</v>
      </c>
      <c r="N83" s="32"/>
      <c r="O83" s="32"/>
      <c r="P83" s="32"/>
      <c r="Q83" s="33" t="s">
        <v>36</v>
      </c>
      <c r="R83" s="32"/>
      <c r="S83" s="34"/>
      <c r="T83" s="32"/>
      <c r="U83" s="141" t="s">
        <v>228</v>
      </c>
      <c r="V83" s="32"/>
      <c r="W83" s="31"/>
      <c r="X83" s="32"/>
      <c r="Y83" s="33" t="s">
        <v>37</v>
      </c>
      <c r="Z83" s="32"/>
    </row>
    <row r="84" spans="1:26" ht="12.75">
      <c r="G84" s="31"/>
      <c r="H84" s="69"/>
      <c r="I84" s="164">
        <f>IF(D40&lt;=0.5,0.055,IF(D40&gt;0.8,0.0082752 + 0.2011583 * D40 - 0.2802179 * D40 ^ 2 + 0.1037844 * D40 ^ 3,IF(D40&lt;=0.8,0.0110789 - 0.1010717 * D40 + 1.2283207 * D40 ^ 2 - 2.344077 * D40 ^ 3+ 1.2861834 * D40 ^ 4)))</f>
        <v>3.3000000000000002E-2</v>
      </c>
      <c r="J84" s="81"/>
      <c r="K84" s="37"/>
      <c r="L84" s="69"/>
      <c r="M84" s="165">
        <f>I84*$N$22</f>
        <v>179.52</v>
      </c>
      <c r="N84" s="81"/>
      <c r="O84" s="37"/>
      <c r="P84" s="69"/>
      <c r="Q84" s="165">
        <f t="shared" ref="Q84:Q85" si="25">M84/$Q$22</f>
        <v>2.2638875518727137</v>
      </c>
      <c r="R84" s="81"/>
      <c r="S84" s="38"/>
      <c r="T84" s="69"/>
      <c r="U84" s="165">
        <f t="shared" ref="U84:U85" si="26">IF(Q84&lt;$W$22,$W$22,IF(Q84&gt;=$W$22,Q84))</f>
        <v>2.5</v>
      </c>
      <c r="V84" s="81"/>
      <c r="W84" s="39"/>
      <c r="X84" s="69"/>
      <c r="Y84" s="164">
        <f t="shared" ref="Y84:Y85" si="27">$D$27/U84</f>
        <v>0.25446900494077329</v>
      </c>
      <c r="Z84" s="81"/>
    </row>
    <row r="85" spans="1:26" ht="12.75">
      <c r="F85" s="27" t="s">
        <v>40</v>
      </c>
      <c r="G85" s="39">
        <f>D32</f>
        <v>4</v>
      </c>
      <c r="H85" s="166">
        <v>3.3000000000000002E-2</v>
      </c>
      <c r="I85" s="22">
        <f>IF(D40&lt;=0.5,0.083,IF(D40&gt;0.8,0.020688 + 0.2637986 * D40 - 0.3724199 * D40 ^ 2 + 0.1379333 * D40 ^ 3,IF(D40&lt;=0.8,0.0415277 - 0.0913129 * D40 + 1.1413963 * D40 ^ 2 - 2.1617383 * D40 ^ 3+ 1.1519506 * D40 ^ 4)))</f>
        <v>4.9999999999999961E-2</v>
      </c>
      <c r="J85" s="175">
        <v>3.3000000000000002E-2</v>
      </c>
      <c r="K85" s="40"/>
      <c r="L85" s="168">
        <f>H85*$N$22</f>
        <v>179.52</v>
      </c>
      <c r="M85" s="41">
        <f>I85*$N$22</f>
        <v>271.99999999999977</v>
      </c>
      <c r="N85" s="173">
        <f>J85*$N$22</f>
        <v>179.52</v>
      </c>
      <c r="O85" s="40"/>
      <c r="P85" s="168">
        <f>L85/$Q$22</f>
        <v>2.2638875518727137</v>
      </c>
      <c r="Q85" s="41">
        <f t="shared" si="25"/>
        <v>3.4301326543525938</v>
      </c>
      <c r="R85" s="173">
        <f>N85/$Q$22</f>
        <v>2.2638875518727137</v>
      </c>
      <c r="S85" s="42"/>
      <c r="T85" s="168">
        <f>IF(P85&lt;$W$22,$W$22,IF(P85&gt;=$W$22,P85))</f>
        <v>2.5</v>
      </c>
      <c r="U85" s="43">
        <f t="shared" si="26"/>
        <v>3.4301326543525938</v>
      </c>
      <c r="V85" s="173">
        <f>IF(R85&lt;$W$22,$W$22,IF(R85&gt;=$W$22,R85))</f>
        <v>2.5</v>
      </c>
      <c r="W85" s="39"/>
      <c r="X85" s="169">
        <f>$D$27/T85</f>
        <v>0.25446900494077329</v>
      </c>
      <c r="Y85" s="26">
        <f t="shared" si="27"/>
        <v>0.18546586282739697</v>
      </c>
      <c r="Z85" s="174">
        <f>$D$27/V85</f>
        <v>0.25446900494077329</v>
      </c>
    </row>
    <row r="86" spans="1:26" ht="12.75">
      <c r="H86" s="77"/>
      <c r="I86" s="170">
        <f>IF(D40&lt;=0.5,0.055,IF(D40&gt;0.8,0.0082752 + 0.2011583 * D40 - 0.2802179 * D40 ^ 2 + 0.1037844 * D40 ^ 3,IF(D40&lt;=0.8,0.0110789 - 0.1010717 * D40 + 1.2283207 * D40 ^ 2 - 2.344077 * D40 ^ 3+ 1.2861834 * D40 ^ 4)))</f>
        <v>3.3000000000000002E-2</v>
      </c>
      <c r="J86" s="78"/>
      <c r="K86" s="42"/>
      <c r="L86" s="77"/>
      <c r="M86" s="171">
        <f>I86*$N$22</f>
        <v>179.52</v>
      </c>
      <c r="N86" s="78"/>
      <c r="O86" s="42"/>
      <c r="P86" s="77"/>
      <c r="Q86" s="171">
        <f>M86/$Q$22</f>
        <v>2.2638875518727137</v>
      </c>
      <c r="R86" s="78"/>
      <c r="S86" s="40"/>
      <c r="T86" s="77"/>
      <c r="U86" s="171">
        <f>IF(Q86&lt;$W$22,$W$22,IF(Q86&gt;=$W$22,Q86))</f>
        <v>2.5</v>
      </c>
      <c r="V86" s="78"/>
      <c r="W86" s="39"/>
      <c r="X86" s="77"/>
      <c r="Y86" s="172">
        <f>$D$27/U86</f>
        <v>0.25446900494077329</v>
      </c>
      <c r="Z86" s="78"/>
    </row>
    <row r="87" spans="1:26" ht="12.75">
      <c r="G87" s="31"/>
      <c r="H87" s="53" t="s">
        <v>45</v>
      </c>
      <c r="I87" s="39">
        <f>D33</f>
        <v>4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4"/>
      <c r="W87" s="34"/>
      <c r="X87" s="34"/>
      <c r="Y87" s="34"/>
      <c r="Z87" s="34"/>
    </row>
    <row r="88" spans="1:26" ht="12.75">
      <c r="G88" s="31"/>
    </row>
    <row r="89" spans="1:26" ht="12.75"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75">
      <c r="A90" s="4" t="s">
        <v>59</v>
      </c>
    </row>
    <row r="91" spans="1:26" ht="12.75">
      <c r="A91" s="2" t="s">
        <v>60</v>
      </c>
      <c r="C91" s="2" t="s">
        <v>16</v>
      </c>
    </row>
    <row r="92" spans="1:26" ht="12.75">
      <c r="A92" s="2" t="s">
        <v>32</v>
      </c>
    </row>
    <row r="93" spans="1:26" ht="12.75">
      <c r="A93" s="2" t="s">
        <v>17</v>
      </c>
      <c r="D93">
        <f>F15</f>
        <v>1500</v>
      </c>
      <c r="E93" s="2" t="s">
        <v>3</v>
      </c>
      <c r="G93" s="2" t="s">
        <v>61</v>
      </c>
      <c r="H93" s="6">
        <v>2.2040000000000002</v>
      </c>
      <c r="I93" s="2" t="s">
        <v>62</v>
      </c>
      <c r="J93" s="82" t="str">
        <f>IF(H93&lt;=D107, "&lt; Mc , Singly RC",IF(H93&gt;D107,"&gt; Mc , Doubly RC"))</f>
        <v>&gt; Mc , Doubly RC</v>
      </c>
      <c r="P93" s="2" t="s">
        <v>63</v>
      </c>
      <c r="Q93" s="83">
        <v>4.9509999999999996</v>
      </c>
      <c r="R93" s="2" t="s">
        <v>64</v>
      </c>
    </row>
    <row r="94" spans="1:26" ht="12.75">
      <c r="A94" s="2" t="s">
        <v>19</v>
      </c>
      <c r="D94" s="15">
        <f>F16</f>
        <v>0.30733635286027539</v>
      </c>
      <c r="G94" s="2" t="s">
        <v>65</v>
      </c>
      <c r="H94" s="84">
        <f>IF(H93&lt;=D107,"-",IF(H93&gt;D107,H93-D107))</f>
        <v>1.1759255638610799E-2</v>
      </c>
      <c r="I94" s="2" t="s">
        <v>62</v>
      </c>
      <c r="J94" s="85" t="s">
        <v>66</v>
      </c>
      <c r="K94" s="85"/>
      <c r="L94" s="85"/>
      <c r="P94" s="2" t="s">
        <v>67</v>
      </c>
      <c r="Q94" s="15">
        <f>Q93*1000/(D99*100*D103)</f>
        <v>7.072857142857143</v>
      </c>
      <c r="R94" s="2" t="s">
        <v>3</v>
      </c>
      <c r="S94" s="11" t="str">
        <f>IF(Q94&lt;=D110,"&lt; vc",IF(Q94&gt;D110,"&gt; vc",IF(Q94&gt;D112,"&gt; vmax เปลี่ยนขนาดหน้าตัด")))</f>
        <v>&gt; vc</v>
      </c>
      <c r="T94" s="3" t="s">
        <v>68</v>
      </c>
    </row>
    <row r="95" spans="1:26" ht="12.75">
      <c r="A95" s="2" t="s">
        <v>21</v>
      </c>
      <c r="D95" s="15">
        <f>F17</f>
        <v>0.89755454904657483</v>
      </c>
      <c r="G95" s="2" t="s">
        <v>69</v>
      </c>
      <c r="H95" s="86">
        <f>IF(H93&lt;=D107,"-",IF(H93&gt;D107,2*D93*(D94-D105)/(1-D94)))</f>
        <v>712.37696975579979</v>
      </c>
      <c r="I95" s="2" t="s">
        <v>3</v>
      </c>
      <c r="J95" s="85" t="s">
        <v>70</v>
      </c>
      <c r="K95" s="85"/>
      <c r="L95" s="85"/>
      <c r="M95" s="3" t="s">
        <v>71</v>
      </c>
      <c r="P95" s="2" t="s">
        <v>72</v>
      </c>
      <c r="Q95" s="87">
        <f>IF(Q94&lt;=D110,"-",IF(Q94&gt;D110,(Q94-D110)*D99*100*D103))</f>
        <v>2280.9518730929212</v>
      </c>
      <c r="R95" s="2" t="s">
        <v>73</v>
      </c>
      <c r="T95" s="3" t="s">
        <v>74</v>
      </c>
    </row>
    <row r="96" spans="1:26" ht="14.25">
      <c r="A96" s="2" t="s">
        <v>23</v>
      </c>
      <c r="D96" s="15">
        <f>F18</f>
        <v>8.9479214055566914</v>
      </c>
      <c r="E96" s="2" t="s">
        <v>3</v>
      </c>
      <c r="G96" s="2" t="s">
        <v>75</v>
      </c>
      <c r="H96" s="88">
        <f>IF(H93&lt;=D107,"-",IF(H93&gt;D107,D107/D106))</f>
        <v>4.6523040414224175</v>
      </c>
      <c r="I96" s="179" t="s">
        <v>76</v>
      </c>
      <c r="J96" s="85" t="s">
        <v>77</v>
      </c>
      <c r="K96" s="85"/>
      <c r="L96" s="85"/>
      <c r="P96" s="2" t="s">
        <v>78</v>
      </c>
      <c r="T96" s="89">
        <v>6</v>
      </c>
      <c r="U96" s="2" t="s">
        <v>28</v>
      </c>
      <c r="V96" s="89">
        <v>1</v>
      </c>
      <c r="W96" s="2" t="s">
        <v>79</v>
      </c>
    </row>
    <row r="97" spans="1:21" ht="14.25">
      <c r="G97" s="2" t="s">
        <v>80</v>
      </c>
      <c r="H97" s="88">
        <f>IF(H93&lt;=D107,"-",IF(H93&gt;D107,H94*1000/D93/D104))</f>
        <v>2.6131679196912887E-2</v>
      </c>
      <c r="I97" s="179" t="s">
        <v>76</v>
      </c>
      <c r="J97" s="85" t="s">
        <v>81</v>
      </c>
      <c r="K97" s="85"/>
      <c r="L97" s="85"/>
      <c r="P97" s="2" t="s">
        <v>82</v>
      </c>
      <c r="T97" s="15">
        <f>2*PI()*(T96/10)^2/4</f>
        <v>0.56548667764616278</v>
      </c>
      <c r="U97" s="179" t="s">
        <v>76</v>
      </c>
    </row>
    <row r="98" spans="1:21" ht="12.75">
      <c r="A98" s="2" t="s">
        <v>83</v>
      </c>
      <c r="P98" s="2" t="s">
        <v>84</v>
      </c>
      <c r="T98" s="15">
        <f>T97*V96</f>
        <v>0.56548667764616278</v>
      </c>
      <c r="U98" s="179" t="s">
        <v>76</v>
      </c>
    </row>
    <row r="99" spans="1:21" ht="12.75">
      <c r="A99" s="2" t="s">
        <v>226</v>
      </c>
      <c r="D99" s="6">
        <v>0.2</v>
      </c>
      <c r="E99" s="2" t="s">
        <v>47</v>
      </c>
    </row>
    <row r="100" spans="1:21" ht="12.75">
      <c r="A100" s="2" t="s">
        <v>85</v>
      </c>
      <c r="D100" s="90">
        <v>0.4</v>
      </c>
      <c r="E100" s="2" t="s">
        <v>47</v>
      </c>
      <c r="G100" s="2" t="s">
        <v>86</v>
      </c>
      <c r="H100" s="15">
        <f>IF(H93&lt;=D107,H93/D106,IF(H93&gt;D107,H96+H97))</f>
        <v>4.6784357206193308</v>
      </c>
      <c r="I100" s="179" t="s">
        <v>76</v>
      </c>
      <c r="J100" s="3" t="s">
        <v>87</v>
      </c>
      <c r="P100" s="2" t="s">
        <v>88</v>
      </c>
    </row>
    <row r="101" spans="1:21" ht="12.75">
      <c r="A101" s="2" t="s">
        <v>89</v>
      </c>
      <c r="D101" s="6">
        <v>0.05</v>
      </c>
      <c r="E101" s="2" t="s">
        <v>47</v>
      </c>
      <c r="G101" s="2" t="s">
        <v>90</v>
      </c>
      <c r="H101" s="15">
        <f>IF(H93&lt;=D107,0,IF(H93&gt;D107,H94*1000/H95/D104))</f>
        <v>5.5023562607317444E-2</v>
      </c>
      <c r="I101" s="179" t="s">
        <v>76</v>
      </c>
      <c r="J101" s="3" t="s">
        <v>91</v>
      </c>
      <c r="P101" s="2" t="s">
        <v>92</v>
      </c>
      <c r="R101" s="91">
        <f>T98/0.0015/(D99*100)/100</f>
        <v>0.18849555921538758</v>
      </c>
      <c r="S101" s="2" t="s">
        <v>47</v>
      </c>
    </row>
    <row r="102" spans="1:21" ht="12.75">
      <c r="G102" s="11" t="str">
        <f>IF(H101&lt;H100,"ขนาดหน้าตัดคานใช้ได้",IF(H101&gt;=H100,"เปลี่ยนขนาดหน้าตัด"))</f>
        <v>ขนาดหน้าตัดคานใช้ได้</v>
      </c>
      <c r="P102" t="str">
        <f>IF(Q94&lt;=D111, "d/2",IF(Q94&gt;D111,"d/4"))</f>
        <v>d/2</v>
      </c>
      <c r="R102" s="92">
        <f>IF(Q94&lt;=D111,D103/2/100,IF(Q94&gt;D111,D103/4/100))</f>
        <v>0.17499999999999999</v>
      </c>
      <c r="S102" s="2" t="s">
        <v>47</v>
      </c>
      <c r="T102" s="3" t="s">
        <v>93</v>
      </c>
    </row>
    <row r="103" spans="1:21" ht="12.75">
      <c r="A103" s="2" t="s">
        <v>94</v>
      </c>
      <c r="D103">
        <f>(D100-D101)*100</f>
        <v>35</v>
      </c>
      <c r="E103" s="2" t="s">
        <v>42</v>
      </c>
      <c r="P103" s="2" t="s">
        <v>95</v>
      </c>
      <c r="R103" s="91">
        <f>IF(Q94&lt;=D110,"-",IF(Q94&gt;D110,T98*D109*D103/Q95/100))</f>
        <v>0.10412512750185191</v>
      </c>
      <c r="S103" s="2" t="s">
        <v>47</v>
      </c>
      <c r="T103" s="2" t="s">
        <v>96</v>
      </c>
    </row>
    <row r="104" spans="1:21" ht="12.75">
      <c r="A104" s="2" t="s">
        <v>97</v>
      </c>
      <c r="D104" s="21">
        <f>(D103/100)-D101</f>
        <v>0.3</v>
      </c>
      <c r="E104" s="2" t="s">
        <v>47</v>
      </c>
    </row>
    <row r="105" spans="1:21" ht="12.75">
      <c r="A105" s="2" t="s">
        <v>98</v>
      </c>
      <c r="D105" s="15">
        <f>D101*100/D103</f>
        <v>0.14285714285714285</v>
      </c>
    </row>
    <row r="106" spans="1:21" ht="12.75">
      <c r="A106" s="2" t="s">
        <v>99</v>
      </c>
      <c r="D106" s="15">
        <f>(D93*D95*D103)/1000/100</f>
        <v>0.47121613824945185</v>
      </c>
      <c r="E106" s="179" t="s">
        <v>100</v>
      </c>
    </row>
    <row r="107" spans="1:21" ht="12.75">
      <c r="A107" s="2" t="s">
        <v>101</v>
      </c>
      <c r="D107" s="15">
        <f>(D96*D99*D103^2)/1000</f>
        <v>2.1922407443613894</v>
      </c>
      <c r="E107" s="2" t="s">
        <v>62</v>
      </c>
    </row>
    <row r="109" spans="1:21" ht="12.75">
      <c r="A109" s="2" t="s">
        <v>102</v>
      </c>
      <c r="D109">
        <f>B15</f>
        <v>1200</v>
      </c>
      <c r="E109" s="2" t="s">
        <v>3</v>
      </c>
    </row>
    <row r="110" spans="1:21" ht="12.75">
      <c r="A110" s="2" t="s">
        <v>103</v>
      </c>
      <c r="D110" s="15">
        <f>0.29*SQRT(B5)</f>
        <v>3.8143544670101122</v>
      </c>
      <c r="E110" s="2" t="s">
        <v>3</v>
      </c>
      <c r="F110" s="3" t="s">
        <v>104</v>
      </c>
    </row>
    <row r="111" spans="1:21" ht="12.75">
      <c r="A111" s="2" t="s">
        <v>105</v>
      </c>
      <c r="D111" s="15">
        <f>0.795*SQRT(B5)</f>
        <v>10.456592418182895</v>
      </c>
      <c r="E111" s="2" t="s">
        <v>3</v>
      </c>
      <c r="F111" s="3" t="s">
        <v>106</v>
      </c>
    </row>
    <row r="112" spans="1:21" ht="12.75">
      <c r="A112" s="2" t="s">
        <v>107</v>
      </c>
      <c r="D112" s="15">
        <f>1.32*SQRT(B5)</f>
        <v>17.361889298114995</v>
      </c>
      <c r="E112" s="2" t="s">
        <v>3</v>
      </c>
      <c r="F112" s="3" t="s">
        <v>108</v>
      </c>
    </row>
    <row r="115" spans="1:21" ht="12.75">
      <c r="A115" s="4" t="s">
        <v>109</v>
      </c>
    </row>
    <row r="116" spans="1:21" ht="12.75">
      <c r="A116" s="2" t="s">
        <v>2</v>
      </c>
      <c r="D116">
        <f>B5</f>
        <v>173</v>
      </c>
      <c r="E116" s="2" t="s">
        <v>3</v>
      </c>
      <c r="R116" s="186" t="s">
        <v>110</v>
      </c>
      <c r="S116" s="187"/>
    </row>
    <row r="117" spans="1:21" ht="12.75">
      <c r="A117" s="2" t="s">
        <v>111</v>
      </c>
      <c r="D117" s="94" t="s">
        <v>112</v>
      </c>
      <c r="M117" s="4" t="s">
        <v>113</v>
      </c>
      <c r="N117" s="52"/>
      <c r="O117" s="52"/>
      <c r="P117" s="52"/>
      <c r="Q117" s="52"/>
      <c r="R117" s="93" t="s">
        <v>114</v>
      </c>
      <c r="S117" s="93" t="s">
        <v>115</v>
      </c>
      <c r="T117" s="93" t="s">
        <v>116</v>
      </c>
      <c r="U117" s="93" t="s">
        <v>117</v>
      </c>
    </row>
    <row r="118" spans="1:21" ht="12.75">
      <c r="A118" s="2" t="s">
        <v>118</v>
      </c>
      <c r="D118" s="5">
        <f>IF(D117="DB",0.4*F14,IF(D117="RB",1200))</f>
        <v>1200</v>
      </c>
      <c r="E118" s="2" t="s">
        <v>3</v>
      </c>
      <c r="M118" s="2">
        <v>12</v>
      </c>
      <c r="N118" s="2" t="s">
        <v>119</v>
      </c>
      <c r="O118" s="15">
        <f t="shared" ref="O118:O121" si="28">PI()*(M118/10)^2/4</f>
        <v>1.1309733552923256</v>
      </c>
      <c r="P118" s="179" t="s">
        <v>76</v>
      </c>
      <c r="R118" s="95">
        <f t="shared" ref="R118:R121" si="29">$D$130/O118</f>
        <v>3.5367765131532303</v>
      </c>
      <c r="S118" s="89">
        <v>4</v>
      </c>
      <c r="T118" s="96">
        <f t="shared" ref="T118:T121" si="30">S118*O118</f>
        <v>4.5238934211693023</v>
      </c>
      <c r="U118" s="97">
        <f t="shared" ref="U118:U121" si="31">T118/$D$126</f>
        <v>1.1309733552923255E-2</v>
      </c>
    </row>
    <row r="119" spans="1:21" ht="12.75">
      <c r="A119" s="2" t="s">
        <v>120</v>
      </c>
      <c r="D119" s="6">
        <v>0.2</v>
      </c>
      <c r="E119" s="2" t="s">
        <v>47</v>
      </c>
      <c r="M119" s="2">
        <v>16</v>
      </c>
      <c r="N119" s="2" t="s">
        <v>119</v>
      </c>
      <c r="O119" s="15">
        <f t="shared" si="28"/>
        <v>2.0106192982974678</v>
      </c>
      <c r="P119" s="179" t="s">
        <v>76</v>
      </c>
      <c r="R119" s="95">
        <f t="shared" si="29"/>
        <v>1.9894367886486921</v>
      </c>
      <c r="S119" s="89">
        <v>4</v>
      </c>
      <c r="T119" s="96">
        <f t="shared" si="30"/>
        <v>8.0424771931898711</v>
      </c>
      <c r="U119" s="97">
        <f t="shared" si="31"/>
        <v>2.0106192982974676E-2</v>
      </c>
    </row>
    <row r="120" spans="1:21" ht="12.75">
      <c r="A120" s="2" t="s">
        <v>121</v>
      </c>
      <c r="D120" s="6">
        <v>0.2</v>
      </c>
      <c r="E120" s="2" t="s">
        <v>47</v>
      </c>
      <c r="M120" s="2">
        <v>20</v>
      </c>
      <c r="N120" s="2" t="s">
        <v>119</v>
      </c>
      <c r="O120" s="15">
        <f t="shared" si="28"/>
        <v>3.1415926535897931</v>
      </c>
      <c r="P120" s="179" t="s">
        <v>76</v>
      </c>
      <c r="R120" s="95">
        <f t="shared" si="29"/>
        <v>1.273239544735163</v>
      </c>
      <c r="S120" s="89">
        <v>4</v>
      </c>
      <c r="T120" s="96">
        <f t="shared" si="30"/>
        <v>12.566370614359172</v>
      </c>
      <c r="U120" s="97">
        <f t="shared" si="31"/>
        <v>3.1415926535897927E-2</v>
      </c>
    </row>
    <row r="121" spans="1:21" ht="12.75">
      <c r="A121" s="2" t="s">
        <v>122</v>
      </c>
      <c r="D121" s="90">
        <v>3</v>
      </c>
      <c r="E121" s="2" t="s">
        <v>47</v>
      </c>
      <c r="M121" s="2">
        <v>25</v>
      </c>
      <c r="N121" s="2" t="s">
        <v>119</v>
      </c>
      <c r="O121" s="15">
        <f t="shared" si="28"/>
        <v>4.908738521234052</v>
      </c>
      <c r="P121" s="179" t="s">
        <v>76</v>
      </c>
      <c r="R121" s="95">
        <f t="shared" si="29"/>
        <v>0.81487330863050433</v>
      </c>
      <c r="S121" s="89">
        <v>4</v>
      </c>
      <c r="T121" s="96">
        <f t="shared" si="30"/>
        <v>19.634954084936208</v>
      </c>
      <c r="U121" s="97">
        <f t="shared" si="31"/>
        <v>4.908738521234051E-2</v>
      </c>
    </row>
    <row r="122" spans="1:21" ht="12.75">
      <c r="A122" s="2" t="s">
        <v>123</v>
      </c>
      <c r="D122" s="98">
        <v>7.2460000000000004</v>
      </c>
      <c r="E122" s="2" t="s">
        <v>64</v>
      </c>
    </row>
    <row r="123" spans="1:21" ht="12.75">
      <c r="M123" s="4" t="s">
        <v>124</v>
      </c>
      <c r="R123" s="93" t="s">
        <v>125</v>
      </c>
      <c r="S123" s="93" t="s">
        <v>126</v>
      </c>
      <c r="T123" s="93" t="s">
        <v>127</v>
      </c>
      <c r="U123" s="93" t="s">
        <v>128</v>
      </c>
    </row>
    <row r="124" spans="1:21" ht="12.75">
      <c r="A124" s="2" t="s">
        <v>129</v>
      </c>
      <c r="D124" s="99">
        <f>D121/D119</f>
        <v>15</v>
      </c>
      <c r="E124" t="str">
        <f>IF(D124&lt;=15,"เสาสั้น",IF(D124&gt;15,"เสายาว"))</f>
        <v>เสาสั้น</v>
      </c>
      <c r="I124" s="11"/>
      <c r="J124" s="11"/>
      <c r="M124" s="100">
        <v>6</v>
      </c>
      <c r="N124" s="12">
        <f t="shared" ref="N124:N127" si="32">M118</f>
        <v>12</v>
      </c>
      <c r="R124" s="96">
        <f t="shared" ref="R124:R131" si="33">16*N124/10/100</f>
        <v>0.192</v>
      </c>
      <c r="S124" s="12">
        <f t="shared" ref="S124:S127" si="34">48*$M$124/10/100</f>
        <v>0.28800000000000003</v>
      </c>
      <c r="T124" s="96">
        <f t="shared" ref="T124:T131" si="35">$D$119</f>
        <v>0.2</v>
      </c>
      <c r="U124" s="101">
        <f t="shared" ref="U124:U131" si="36">MIN(R124:T124)</f>
        <v>0.192</v>
      </c>
    </row>
    <row r="125" spans="1:21" ht="12.75">
      <c r="A125" s="2" t="s">
        <v>23</v>
      </c>
      <c r="D125" s="21">
        <f>IF(D124&lt;=15,1,IF(D124&gt;15,1.07-0.008*D121/(0.3*D119)))</f>
        <v>1</v>
      </c>
      <c r="F125" s="3" t="s">
        <v>130</v>
      </c>
      <c r="G125" s="11"/>
      <c r="H125" s="11"/>
      <c r="I125" s="11"/>
      <c r="J125" s="11"/>
      <c r="N125" s="12">
        <f t="shared" si="32"/>
        <v>16</v>
      </c>
      <c r="R125" s="96">
        <f t="shared" si="33"/>
        <v>0.25600000000000001</v>
      </c>
      <c r="S125" s="12">
        <f t="shared" si="34"/>
        <v>0.28800000000000003</v>
      </c>
      <c r="T125" s="96">
        <f t="shared" si="35"/>
        <v>0.2</v>
      </c>
      <c r="U125" s="101">
        <f t="shared" si="36"/>
        <v>0.2</v>
      </c>
    </row>
    <row r="126" spans="1:21" ht="12.75">
      <c r="A126" s="2" t="s">
        <v>131</v>
      </c>
      <c r="D126">
        <f>D119*D120*10000</f>
        <v>400.00000000000006</v>
      </c>
      <c r="E126" s="179" t="s">
        <v>76</v>
      </c>
      <c r="F126" s="2" t="s">
        <v>132</v>
      </c>
      <c r="N126" s="12">
        <f t="shared" si="32"/>
        <v>20</v>
      </c>
      <c r="R126" s="96">
        <f t="shared" si="33"/>
        <v>0.32</v>
      </c>
      <c r="S126" s="12">
        <f t="shared" si="34"/>
        <v>0.28800000000000003</v>
      </c>
      <c r="T126" s="96">
        <f t="shared" si="35"/>
        <v>0.2</v>
      </c>
      <c r="U126" s="101">
        <f t="shared" si="36"/>
        <v>0.2</v>
      </c>
    </row>
    <row r="127" spans="1:21" ht="12.75">
      <c r="A127" s="2" t="s">
        <v>133</v>
      </c>
      <c r="D127" s="102">
        <f>D122*1000/D125</f>
        <v>7246</v>
      </c>
      <c r="E127" s="2" t="s">
        <v>73</v>
      </c>
      <c r="N127" s="12">
        <f t="shared" si="32"/>
        <v>25</v>
      </c>
      <c r="R127" s="96">
        <f t="shared" si="33"/>
        <v>0.4</v>
      </c>
      <c r="S127" s="12">
        <f t="shared" si="34"/>
        <v>0.28800000000000003</v>
      </c>
      <c r="T127" s="96">
        <f t="shared" si="35"/>
        <v>0.2</v>
      </c>
      <c r="U127" s="101">
        <f t="shared" si="36"/>
        <v>0.2</v>
      </c>
    </row>
    <row r="128" spans="1:21" ht="12.75">
      <c r="A128" s="2" t="s">
        <v>134</v>
      </c>
      <c r="D128" s="15">
        <f>0.01*D126</f>
        <v>4.0000000000000009</v>
      </c>
      <c r="E128" s="179" t="s">
        <v>76</v>
      </c>
      <c r="M128" s="100">
        <v>9</v>
      </c>
      <c r="N128" s="12">
        <f t="shared" ref="N128:N131" si="37">M118</f>
        <v>12</v>
      </c>
      <c r="R128" s="96">
        <f t="shared" si="33"/>
        <v>0.192</v>
      </c>
      <c r="S128" s="12">
        <f t="shared" ref="S128:S131" si="38">48*$M$128/10/100</f>
        <v>0.43200000000000005</v>
      </c>
      <c r="T128" s="96">
        <f t="shared" si="35"/>
        <v>0.2</v>
      </c>
      <c r="U128" s="101">
        <f t="shared" si="36"/>
        <v>0.192</v>
      </c>
    </row>
    <row r="129" spans="1:21" ht="12.75">
      <c r="A129" s="2" t="s">
        <v>135</v>
      </c>
      <c r="D129" s="15">
        <f>(D127-0.2125*D126*D116)/(0.85*D118)</f>
        <v>-7.3127450980392172</v>
      </c>
      <c r="E129" s="179" t="s">
        <v>76</v>
      </c>
      <c r="F129" s="3" t="s">
        <v>136</v>
      </c>
      <c r="N129" s="12">
        <f t="shared" si="37"/>
        <v>16</v>
      </c>
      <c r="R129" s="96">
        <f t="shared" si="33"/>
        <v>0.25600000000000001</v>
      </c>
      <c r="S129" s="12">
        <f t="shared" si="38"/>
        <v>0.43200000000000005</v>
      </c>
      <c r="T129" s="96">
        <f t="shared" si="35"/>
        <v>0.2</v>
      </c>
      <c r="U129" s="101">
        <f t="shared" si="36"/>
        <v>0.2</v>
      </c>
    </row>
    <row r="130" spans="1:21" ht="12.75">
      <c r="A130" s="2" t="s">
        <v>137</v>
      </c>
      <c r="D130" s="15">
        <f>IF(D129&gt;D128,D129,IF(D129&lt;=D128,D128))</f>
        <v>4.0000000000000009</v>
      </c>
      <c r="E130" s="179" t="s">
        <v>76</v>
      </c>
      <c r="N130" s="12">
        <f t="shared" si="37"/>
        <v>20</v>
      </c>
      <c r="R130" s="96">
        <f t="shared" si="33"/>
        <v>0.32</v>
      </c>
      <c r="S130" s="12">
        <f t="shared" si="38"/>
        <v>0.43200000000000005</v>
      </c>
      <c r="T130" s="96">
        <f t="shared" si="35"/>
        <v>0.2</v>
      </c>
      <c r="U130" s="101">
        <f t="shared" si="36"/>
        <v>0.2</v>
      </c>
    </row>
    <row r="131" spans="1:21" ht="12.75">
      <c r="A131" s="2"/>
      <c r="D131" s="180"/>
      <c r="F131" s="177"/>
      <c r="N131" s="12">
        <f t="shared" si="37"/>
        <v>25</v>
      </c>
      <c r="R131" s="96">
        <f t="shared" si="33"/>
        <v>0.4</v>
      </c>
      <c r="S131" s="12">
        <f t="shared" si="38"/>
        <v>0.43200000000000005</v>
      </c>
      <c r="T131" s="96">
        <f t="shared" si="35"/>
        <v>0.2</v>
      </c>
      <c r="U131" s="101">
        <f t="shared" si="36"/>
        <v>0.2</v>
      </c>
    </row>
    <row r="133" spans="1:21" ht="12.75">
      <c r="A133" s="4" t="s">
        <v>138</v>
      </c>
    </row>
    <row r="134" spans="1:21" ht="12.75">
      <c r="A134" s="2" t="s">
        <v>2</v>
      </c>
      <c r="D134" s="103">
        <f>B5</f>
        <v>173</v>
      </c>
      <c r="E134" s="2" t="s">
        <v>3</v>
      </c>
    </row>
    <row r="135" spans="1:21" ht="12.75">
      <c r="A135" s="2" t="s">
        <v>139</v>
      </c>
      <c r="D135" s="104" t="s">
        <v>112</v>
      </c>
      <c r="E135" s="2"/>
    </row>
    <row r="136" spans="1:21" ht="12.75">
      <c r="A136" s="2" t="s">
        <v>140</v>
      </c>
      <c r="D136" s="105"/>
      <c r="E136" s="2"/>
    </row>
    <row r="137" spans="1:21" ht="12.75">
      <c r="A137" s="2" t="s">
        <v>17</v>
      </c>
      <c r="D137" s="106">
        <f>IF(D135="DB",F15,IF(D135="RB",B15))</f>
        <v>1500</v>
      </c>
      <c r="E137" s="2" t="s">
        <v>3</v>
      </c>
    </row>
    <row r="138" spans="1:21" ht="12.75">
      <c r="A138" s="2" t="s">
        <v>21</v>
      </c>
      <c r="D138" s="182">
        <f>IF(D135="DB",F17,IF(D135="RB",B17))</f>
        <v>0.89755454904657483</v>
      </c>
      <c r="E138" s="2"/>
    </row>
    <row r="139" spans="1:21" ht="12.75">
      <c r="A139" s="2" t="s">
        <v>23</v>
      </c>
      <c r="D139" s="107">
        <f>IF(D135="DB",F18,IF(D135="RB",B18))</f>
        <v>8.9479214055566914</v>
      </c>
      <c r="E139" s="2" t="s">
        <v>3</v>
      </c>
    </row>
    <row r="140" spans="1:21" ht="12.75">
      <c r="A140" s="2"/>
      <c r="D140" s="107"/>
      <c r="E140" s="2"/>
      <c r="F140" s="108"/>
    </row>
    <row r="141" spans="1:21" ht="12.75">
      <c r="A141" s="2" t="s">
        <v>141</v>
      </c>
      <c r="D141" s="107">
        <f>0.29*SQRT(D134)</f>
        <v>3.8143544670101122</v>
      </c>
      <c r="E141" s="2" t="s">
        <v>3</v>
      </c>
      <c r="F141" s="108" t="s">
        <v>142</v>
      </c>
    </row>
    <row r="142" spans="1:21" ht="12.75">
      <c r="A142" s="2"/>
      <c r="D142" s="106">
        <f>D141*10000</f>
        <v>38143.544670101124</v>
      </c>
      <c r="E142" s="2" t="s">
        <v>143</v>
      </c>
      <c r="F142" s="2"/>
    </row>
    <row r="143" spans="1:21" ht="12.75">
      <c r="A143" s="2" t="s">
        <v>144</v>
      </c>
      <c r="D143" s="107">
        <f>0.53*SQRT(D134)</f>
        <v>6.9710616121219298</v>
      </c>
      <c r="E143" s="2" t="s">
        <v>3</v>
      </c>
      <c r="F143" s="3" t="s">
        <v>145</v>
      </c>
    </row>
    <row r="144" spans="1:21" ht="12.75">
      <c r="A144" s="2"/>
      <c r="D144" s="106">
        <f>D143*10000</f>
        <v>69710.616121219296</v>
      </c>
      <c r="E144" s="2" t="s">
        <v>143</v>
      </c>
    </row>
    <row r="145" spans="1:21" ht="12.75">
      <c r="A145" s="2"/>
      <c r="D145" s="109"/>
      <c r="E145" s="2"/>
    </row>
    <row r="146" spans="1:21" ht="12.75">
      <c r="A146" s="2" t="s">
        <v>146</v>
      </c>
      <c r="D146" s="110">
        <v>0.2</v>
      </c>
      <c r="E146" s="2" t="s">
        <v>47</v>
      </c>
    </row>
    <row r="147" spans="1:21" ht="12.75">
      <c r="A147" s="2" t="s">
        <v>147</v>
      </c>
      <c r="D147" s="90">
        <v>1</v>
      </c>
      <c r="E147" s="2" t="s">
        <v>47</v>
      </c>
    </row>
    <row r="149" spans="1:21" ht="12.75">
      <c r="A149" s="2" t="s">
        <v>148</v>
      </c>
      <c r="D149" s="83">
        <v>14.715</v>
      </c>
      <c r="E149" s="2" t="s">
        <v>64</v>
      </c>
    </row>
    <row r="150" spans="1:21" ht="14.25">
      <c r="A150" s="2" t="s">
        <v>149</v>
      </c>
      <c r="D150" s="111">
        <f>2.4*D146^2*D147</f>
        <v>9.6000000000000016E-2</v>
      </c>
      <c r="E150" s="2" t="s">
        <v>64</v>
      </c>
      <c r="F150" s="3" t="s">
        <v>150</v>
      </c>
      <c r="I150" s="112"/>
    </row>
    <row r="151" spans="1:21" ht="12.75">
      <c r="A151" s="2" t="s">
        <v>151</v>
      </c>
      <c r="D151" s="105">
        <f>D149+D150</f>
        <v>14.811</v>
      </c>
      <c r="E151" s="2"/>
      <c r="L151" s="2" t="s">
        <v>152</v>
      </c>
      <c r="O151" s="98">
        <v>0.25</v>
      </c>
      <c r="P151" s="2" t="s">
        <v>47</v>
      </c>
      <c r="Q151" t="s">
        <v>254</v>
      </c>
    </row>
    <row r="152" spans="1:21" ht="12.75">
      <c r="A152" s="2" t="s">
        <v>153</v>
      </c>
      <c r="D152" s="83">
        <v>20</v>
      </c>
      <c r="E152" s="2" t="s">
        <v>154</v>
      </c>
      <c r="L152" s="2" t="s">
        <v>155</v>
      </c>
      <c r="O152" s="98">
        <v>7.4999999999999997E-2</v>
      </c>
      <c r="P152" s="2" t="s">
        <v>47</v>
      </c>
      <c r="Q152" s="181" t="s">
        <v>246</v>
      </c>
    </row>
    <row r="153" spans="1:21" ht="12.75">
      <c r="A153" s="2" t="s">
        <v>156</v>
      </c>
      <c r="D153" s="107">
        <f>D151*D152/100</f>
        <v>2.9622000000000002</v>
      </c>
      <c r="E153" s="2" t="s">
        <v>64</v>
      </c>
      <c r="L153" s="2" t="s">
        <v>157</v>
      </c>
      <c r="O153" s="15">
        <f>O151+O152</f>
        <v>0.32500000000000001</v>
      </c>
      <c r="P153" s="2" t="s">
        <v>47</v>
      </c>
    </row>
    <row r="154" spans="1:21" ht="12.75">
      <c r="L154" s="2" t="s">
        <v>158</v>
      </c>
      <c r="O154" s="15">
        <f>2.4*D159^2*O153</f>
        <v>3.12</v>
      </c>
      <c r="P154" s="2" t="s">
        <v>64</v>
      </c>
      <c r="Q154" s="3" t="s">
        <v>159</v>
      </c>
    </row>
    <row r="155" spans="1:21" ht="12.75">
      <c r="A155" s="2" t="s">
        <v>160</v>
      </c>
      <c r="D155" s="107">
        <f>D151+D153</f>
        <v>17.773199999999999</v>
      </c>
      <c r="E155" s="2" t="s">
        <v>64</v>
      </c>
      <c r="F155" s="3" t="s">
        <v>161</v>
      </c>
      <c r="L155" s="183" t="s">
        <v>249</v>
      </c>
      <c r="O155" s="15">
        <f>D151+O154</f>
        <v>17.931000000000001</v>
      </c>
      <c r="P155" s="2" t="s">
        <v>64</v>
      </c>
      <c r="Q155" s="3" t="s">
        <v>162</v>
      </c>
      <c r="U155" s="52"/>
    </row>
    <row r="156" spans="1:21" ht="12.75">
      <c r="L156" s="2" t="s">
        <v>163</v>
      </c>
      <c r="O156" s="15">
        <f>D157*D159^2</f>
        <v>20</v>
      </c>
      <c r="P156" s="2" t="s">
        <v>64</v>
      </c>
      <c r="Q156" s="3" t="s">
        <v>164</v>
      </c>
      <c r="T156" s="113" t="str">
        <f>IF(O155&lt;=O156,"ผ่าน",IF(O155&gt;O156,"ไม่ผ่าน"))</f>
        <v>ผ่าน</v>
      </c>
    </row>
    <row r="157" spans="1:21" ht="12.75">
      <c r="A157" s="2" t="s">
        <v>247</v>
      </c>
      <c r="D157" s="90">
        <v>5</v>
      </c>
      <c r="E157" s="2" t="s">
        <v>165</v>
      </c>
      <c r="F157" s="3"/>
    </row>
    <row r="158" spans="1:21" ht="12.75">
      <c r="A158" s="2" t="s">
        <v>166</v>
      </c>
      <c r="D158" s="114">
        <f>SQRT(D155/D157)</f>
        <v>1.8853752942053739</v>
      </c>
      <c r="E158" s="2" t="s">
        <v>47</v>
      </c>
      <c r="F158" s="3" t="s">
        <v>248</v>
      </c>
    </row>
    <row r="159" spans="1:21" ht="12.75">
      <c r="A159" s="2" t="s">
        <v>167</v>
      </c>
      <c r="D159" s="90">
        <v>2</v>
      </c>
      <c r="E159" s="2" t="s">
        <v>47</v>
      </c>
      <c r="F159" s="2" t="s">
        <v>168</v>
      </c>
      <c r="L159" s="4" t="s">
        <v>169</v>
      </c>
    </row>
    <row r="160" spans="1:21" ht="12.75">
      <c r="A160" s="2" t="s">
        <v>170</v>
      </c>
      <c r="D160" s="102">
        <f>(D155/D159^2)*1000</f>
        <v>4443.3</v>
      </c>
      <c r="E160" s="2" t="s">
        <v>143</v>
      </c>
      <c r="F160" s="3" t="s">
        <v>171</v>
      </c>
      <c r="H160" s="3" t="s">
        <v>172</v>
      </c>
      <c r="L160" s="2" t="s">
        <v>250</v>
      </c>
      <c r="O160" s="102">
        <f>(O155/D159^2)*1000</f>
        <v>4482.75</v>
      </c>
      <c r="P160" s="2" t="s">
        <v>143</v>
      </c>
      <c r="Q160" s="3" t="s">
        <v>173</v>
      </c>
      <c r="R160" s="3" t="s">
        <v>172</v>
      </c>
    </row>
    <row r="161" spans="1:25" ht="12.75">
      <c r="A161" s="2" t="s">
        <v>174</v>
      </c>
      <c r="D161" s="115">
        <f>D160*D159*(D159-D146)/2</f>
        <v>7997.9400000000005</v>
      </c>
      <c r="E161" s="2" t="s">
        <v>73</v>
      </c>
      <c r="F161" s="3" t="s">
        <v>175</v>
      </c>
      <c r="L161" s="2" t="s">
        <v>174</v>
      </c>
      <c r="O161" s="102">
        <f>O160*D159*(D159-D146)/2</f>
        <v>8068.95</v>
      </c>
      <c r="P161" s="2" t="s">
        <v>73</v>
      </c>
      <c r="Q161" s="3" t="s">
        <v>251</v>
      </c>
    </row>
    <row r="162" spans="1:25" ht="12.75">
      <c r="A162" s="2" t="s">
        <v>176</v>
      </c>
      <c r="D162" s="115">
        <f>D161*(D159-D146)/4</f>
        <v>3599.0730000000003</v>
      </c>
      <c r="E162" s="2" t="s">
        <v>177</v>
      </c>
      <c r="F162" s="3" t="s">
        <v>178</v>
      </c>
      <c r="L162" s="2" t="s">
        <v>176</v>
      </c>
      <c r="O162" s="102">
        <f>O161*(D159-D146)/4</f>
        <v>3631.0275000000001</v>
      </c>
      <c r="P162" s="2" t="s">
        <v>177</v>
      </c>
      <c r="Q162" s="3" t="s">
        <v>178</v>
      </c>
      <c r="R162" s="12" t="str">
        <f>IF(O162&lt;=V162,"&lt;",IF(O162&gt;V162,"&gt;"))</f>
        <v>&lt;</v>
      </c>
      <c r="S162" s="2" t="s">
        <v>179</v>
      </c>
      <c r="V162" s="102">
        <f>D139*D159*(O151*100)^2</f>
        <v>11184.901756945865</v>
      </c>
      <c r="W162" s="2" t="s">
        <v>177</v>
      </c>
      <c r="X162" s="3" t="s">
        <v>180</v>
      </c>
      <c r="Y162" s="113" t="str">
        <f>IF(O162&lt;=V162,"ผ่าน",IF(O162&gt;V162,"ไม่ผ่าน"))</f>
        <v>ผ่าน</v>
      </c>
    </row>
    <row r="163" spans="1:25" ht="12.75">
      <c r="A163" s="2"/>
      <c r="D163" s="21"/>
      <c r="E163" s="2"/>
      <c r="F163" s="3"/>
    </row>
    <row r="164" spans="1:25" ht="12.75">
      <c r="A164" s="2" t="s">
        <v>181</v>
      </c>
      <c r="D164" s="116">
        <f>SQRT(D162/D139/D159)/100</f>
        <v>0.14181404658073851</v>
      </c>
      <c r="E164" s="2" t="s">
        <v>47</v>
      </c>
      <c r="F164" s="3" t="s">
        <v>182</v>
      </c>
      <c r="L164" s="2" t="s">
        <v>137</v>
      </c>
      <c r="O164" s="15">
        <f>O162/(D137*D138*O151)</f>
        <v>10.787912567860602</v>
      </c>
      <c r="P164" s="179" t="s">
        <v>76</v>
      </c>
      <c r="Q164" s="3" t="s">
        <v>183</v>
      </c>
    </row>
    <row r="165" spans="1:25" ht="12.75">
      <c r="A165" s="2" t="s">
        <v>184</v>
      </c>
      <c r="D165" s="116">
        <f>D160*(D159-D146)/(2*(D142+D160))</f>
        <v>9.390153299635158E-2</v>
      </c>
      <c r="E165" s="2" t="s">
        <v>47</v>
      </c>
      <c r="F165" s="3" t="s">
        <v>185</v>
      </c>
      <c r="L165" s="2" t="s">
        <v>186</v>
      </c>
      <c r="O165" s="15">
        <f>1.33*O164</f>
        <v>14.3479237152546</v>
      </c>
      <c r="P165" s="179" t="s">
        <v>76</v>
      </c>
      <c r="Q165" s="3" t="s">
        <v>187</v>
      </c>
    </row>
    <row r="166" spans="1:25" ht="12.75">
      <c r="A166" s="3" t="s">
        <v>188</v>
      </c>
      <c r="D166" s="102">
        <f>4*D144+D160</f>
        <v>283285.76448487717</v>
      </c>
      <c r="E166" s="2" t="s">
        <v>143</v>
      </c>
    </row>
    <row r="167" spans="1:25" ht="12.75">
      <c r="A167" s="3" t="s">
        <v>189</v>
      </c>
      <c r="D167" s="102">
        <f>2*D146*(2*D144+D160)</f>
        <v>57545.812896975433</v>
      </c>
      <c r="E167" s="2" t="s">
        <v>190</v>
      </c>
      <c r="L167" s="100" t="s">
        <v>191</v>
      </c>
      <c r="M167" s="100" t="s">
        <v>110</v>
      </c>
      <c r="N167" s="100" t="s">
        <v>115</v>
      </c>
      <c r="O167" s="100" t="s">
        <v>192</v>
      </c>
      <c r="P167" s="2" t="s">
        <v>193</v>
      </c>
      <c r="Q167" s="25" t="s">
        <v>194</v>
      </c>
      <c r="R167" s="100" t="s">
        <v>195</v>
      </c>
      <c r="S167" s="2" t="s">
        <v>196</v>
      </c>
      <c r="T167" s="100" t="s">
        <v>195</v>
      </c>
      <c r="V167" s="100" t="s">
        <v>191</v>
      </c>
      <c r="W167" s="100" t="s">
        <v>197</v>
      </c>
      <c r="X167" s="100" t="s">
        <v>198</v>
      </c>
      <c r="Y167" s="117" t="s">
        <v>199</v>
      </c>
    </row>
    <row r="168" spans="1:25" ht="12.75">
      <c r="A168" s="2" t="s">
        <v>200</v>
      </c>
      <c r="D168" s="115">
        <f>D160*(D146^2-D159^2)</f>
        <v>-17595.468000000001</v>
      </c>
      <c r="E168" s="2" t="s">
        <v>73</v>
      </c>
      <c r="F168" s="3"/>
      <c r="L168" s="100">
        <v>12</v>
      </c>
      <c r="M168" s="95">
        <f t="shared" ref="M168:M171" si="39">$O$165/W168</f>
        <v>12.686349902156675</v>
      </c>
      <c r="N168" s="89">
        <v>7</v>
      </c>
      <c r="O168" s="15">
        <f t="shared" ref="O168:O171" si="40">N168*W168</f>
        <v>7.9168134870462792</v>
      </c>
      <c r="P168" s="15">
        <f t="shared" ref="P168:P171" si="41">N168*X168</f>
        <v>26.389378290154262</v>
      </c>
      <c r="Q168" s="20">
        <f t="shared" ref="Q168:Q171" si="42">$O$161/(P168*$D$138*$O$151*100)</f>
        <v>13.626584212842829</v>
      </c>
      <c r="R168" s="113" t="str">
        <f t="shared" ref="R168:R171" si="43">IF(Q168&lt;=Y168,"ผ่าน",IF(Q168&gt;Y168,"เพิ่มจำนวน"))</f>
        <v>ผ่าน</v>
      </c>
      <c r="S168" s="91">
        <f t="shared" ref="S168:S171" si="44">$D$159/N168</f>
        <v>0.2857142857142857</v>
      </c>
      <c r="T168" s="113" t="str">
        <f t="shared" ref="T168:T171" si="45">IF(S168&lt;=0.3,"ผ่าน",IF(S168&gt; 0.3,"เพิ่มจำนวน"))</f>
        <v>ผ่าน</v>
      </c>
      <c r="V168" s="100">
        <v>12</v>
      </c>
      <c r="W168" s="96">
        <f t="shared" ref="W168:W171" si="46">PI()*(V168/10)^2/4</f>
        <v>1.1309733552923256</v>
      </c>
      <c r="X168" s="96">
        <f t="shared" ref="X168:X171" si="47">PI()*(V168/10)</f>
        <v>3.7699111843077517</v>
      </c>
      <c r="Y168" s="118">
        <v>35</v>
      </c>
    </row>
    <row r="169" spans="1:25" ht="12.75">
      <c r="A169" s="2" t="s">
        <v>201</v>
      </c>
      <c r="D169" s="116">
        <f>(-D167+SQRT(D167^2-(4*D166*D168)))/(2*D166)</f>
        <v>0.16755646049196821</v>
      </c>
      <c r="E169" s="2" t="s">
        <v>47</v>
      </c>
      <c r="F169" s="3" t="s">
        <v>202</v>
      </c>
      <c r="L169" s="100">
        <v>16</v>
      </c>
      <c r="M169" s="95">
        <f t="shared" si="39"/>
        <v>7.1360718199631288</v>
      </c>
      <c r="N169" s="89">
        <v>8</v>
      </c>
      <c r="O169" s="15">
        <f t="shared" si="40"/>
        <v>16.084954386379742</v>
      </c>
      <c r="P169" s="15">
        <f t="shared" si="41"/>
        <v>40.212385965949352</v>
      </c>
      <c r="Q169" s="20">
        <f t="shared" si="42"/>
        <v>8.9424458896781083</v>
      </c>
      <c r="R169" s="113" t="str">
        <f t="shared" si="43"/>
        <v>ผ่าน</v>
      </c>
      <c r="S169" s="91">
        <f t="shared" si="44"/>
        <v>0.25</v>
      </c>
      <c r="T169" s="113" t="str">
        <f t="shared" si="45"/>
        <v>ผ่าน</v>
      </c>
      <c r="V169" s="100">
        <v>16</v>
      </c>
      <c r="W169" s="96">
        <f t="shared" si="46"/>
        <v>2.0106192982974678</v>
      </c>
      <c r="X169" s="96">
        <f t="shared" si="47"/>
        <v>5.026548245743669</v>
      </c>
      <c r="Y169" s="96">
        <f t="shared" ref="Y169:Y171" si="48">3.23*SQRT($D$134)/(V169/10)</f>
        <v>26.55251062164367</v>
      </c>
    </row>
    <row r="170" spans="1:25" ht="12.75">
      <c r="A170" s="2" t="s">
        <v>255</v>
      </c>
      <c r="D170" s="119">
        <v>0.15</v>
      </c>
      <c r="E170" s="2" t="s">
        <v>47</v>
      </c>
      <c r="F170" s="181" t="s">
        <v>245</v>
      </c>
      <c r="L170" s="100">
        <v>20</v>
      </c>
      <c r="M170" s="95">
        <f t="shared" si="39"/>
        <v>4.5670859647764033</v>
      </c>
      <c r="N170" s="89">
        <v>10</v>
      </c>
      <c r="O170" s="15">
        <f t="shared" si="40"/>
        <v>31.415926535897931</v>
      </c>
      <c r="P170" s="15">
        <f t="shared" si="41"/>
        <v>62.831853071795862</v>
      </c>
      <c r="Q170" s="20">
        <f t="shared" si="42"/>
        <v>5.723165369393989</v>
      </c>
      <c r="R170" s="113" t="str">
        <f t="shared" si="43"/>
        <v>ผ่าน</v>
      </c>
      <c r="S170" s="91">
        <f t="shared" si="44"/>
        <v>0.2</v>
      </c>
      <c r="T170" s="113" t="str">
        <f t="shared" si="45"/>
        <v>ผ่าน</v>
      </c>
      <c r="V170" s="100">
        <v>20</v>
      </c>
      <c r="W170" s="96">
        <f t="shared" si="46"/>
        <v>3.1415926535897931</v>
      </c>
      <c r="X170" s="96">
        <f t="shared" si="47"/>
        <v>6.2831853071795862</v>
      </c>
      <c r="Y170" s="96">
        <f t="shared" si="48"/>
        <v>21.242008497314938</v>
      </c>
    </row>
    <row r="171" spans="1:25" ht="12.75">
      <c r="L171" s="100">
        <v>25</v>
      </c>
      <c r="M171" s="95">
        <f t="shared" si="39"/>
        <v>2.9229350174568975</v>
      </c>
      <c r="N171" s="89">
        <v>9</v>
      </c>
      <c r="O171" s="15">
        <f t="shared" si="40"/>
        <v>44.178646691106465</v>
      </c>
      <c r="P171" s="15">
        <f t="shared" si="41"/>
        <v>70.685834705770347</v>
      </c>
      <c r="Q171" s="20">
        <f t="shared" si="42"/>
        <v>5.0872581061279902</v>
      </c>
      <c r="R171" s="113" t="str">
        <f t="shared" si="43"/>
        <v>ผ่าน</v>
      </c>
      <c r="S171" s="91">
        <f t="shared" si="44"/>
        <v>0.22222222222222221</v>
      </c>
      <c r="T171" s="113" t="str">
        <f t="shared" si="45"/>
        <v>ผ่าน</v>
      </c>
      <c r="V171" s="100">
        <v>25</v>
      </c>
      <c r="W171" s="96">
        <f t="shared" si="46"/>
        <v>4.908738521234052</v>
      </c>
      <c r="X171" s="96">
        <f t="shared" si="47"/>
        <v>7.8539816339744828</v>
      </c>
      <c r="Y171" s="96">
        <f t="shared" si="48"/>
        <v>16.99360679785195</v>
      </c>
    </row>
    <row r="172" spans="1:25" ht="12.75">
      <c r="Q172" s="3" t="s">
        <v>203</v>
      </c>
      <c r="S172" s="3" t="s">
        <v>204</v>
      </c>
      <c r="T172" s="11"/>
      <c r="Y172" s="120" t="s">
        <v>205</v>
      </c>
    </row>
    <row r="173" spans="1:25" ht="12.75">
      <c r="Q173" s="3" t="s">
        <v>206</v>
      </c>
    </row>
    <row r="175" spans="1:25" ht="12.75">
      <c r="L175" s="4" t="s">
        <v>207</v>
      </c>
    </row>
    <row r="176" spans="1:25" ht="12.75">
      <c r="L176" s="121" t="s">
        <v>208</v>
      </c>
      <c r="O176" s="122">
        <f>(O160/O151)*(0.5*(D159-D146-2*O151))/100^2</f>
        <v>1.1655149999999999</v>
      </c>
      <c r="P176" s="117" t="s">
        <v>3</v>
      </c>
      <c r="Q176" s="2" t="s">
        <v>252</v>
      </c>
      <c r="T176" s="113" t="str">
        <f>IF(O176&lt;=D141,"&lt;",IF(O176&gt;D141,"&gt;"))</f>
        <v>&lt;</v>
      </c>
      <c r="U176" s="123">
        <f>D141</f>
        <v>3.8143544670101122</v>
      </c>
      <c r="V176" s="124" t="str">
        <f>IF(O176&lt;=D141,"(vcb)   ผ่าน",IF(O176&gt;D141, "(vcb)   ไม่ผ่าน"))</f>
        <v>(vcb)   ผ่าน</v>
      </c>
      <c r="W176" s="125"/>
    </row>
    <row r="177" spans="1:23" ht="12.75">
      <c r="L177" s="117" t="s">
        <v>209</v>
      </c>
      <c r="M177" s="100"/>
      <c r="N177" s="12"/>
      <c r="O177" s="15">
        <f>O160*(D159^2-(O151+D146)^2)/(4*(O151+D146)*O151)/100^2</f>
        <v>3.7829429166666668</v>
      </c>
      <c r="P177" s="2" t="s">
        <v>3</v>
      </c>
      <c r="Q177" s="2" t="s">
        <v>253</v>
      </c>
      <c r="T177" s="113" t="str">
        <f>IF(O177&lt;=D143,"&lt;",IF(O177&gt;D143,"&gt;"))</f>
        <v>&lt;</v>
      </c>
      <c r="U177" s="126">
        <f>D143</f>
        <v>6.9710616121219298</v>
      </c>
      <c r="V177" s="52" t="str">
        <f>IF(O177&lt;=D143,"(vcp)   ผ่าน",IF(O177&gt;D143, "(vcp)   ไม่ผ่าน"))</f>
        <v>(vcp)   ผ่าน</v>
      </c>
      <c r="W177" s="127"/>
    </row>
    <row r="178" spans="1:23" ht="12.75">
      <c r="L178" s="100"/>
      <c r="M178" s="100"/>
      <c r="N178" s="12"/>
    </row>
    <row r="179" spans="1:23" ht="12.75">
      <c r="L179" s="100"/>
      <c r="M179" s="12"/>
      <c r="N179" s="12"/>
    </row>
    <row r="180" spans="1:23">
      <c r="A180" s="185" t="s">
        <v>210</v>
      </c>
      <c r="L180" s="100"/>
      <c r="M180" s="12"/>
      <c r="N180" s="12"/>
    </row>
    <row r="181" spans="1:23" ht="12.75">
      <c r="A181" s="2" t="s">
        <v>258</v>
      </c>
      <c r="D181" s="90">
        <v>0.2</v>
      </c>
      <c r="E181" s="2" t="s">
        <v>47</v>
      </c>
      <c r="Q181" s="189" t="s">
        <v>260</v>
      </c>
      <c r="R181" s="189"/>
      <c r="S181" s="189"/>
      <c r="T181" s="189"/>
    </row>
    <row r="182" spans="1:23" ht="12.75">
      <c r="A182" s="2" t="s">
        <v>259</v>
      </c>
      <c r="D182" s="90">
        <v>0.2</v>
      </c>
      <c r="E182" s="2" t="s">
        <v>47</v>
      </c>
      <c r="Q182" s="93" t="s">
        <v>211</v>
      </c>
      <c r="R182" s="93" t="s">
        <v>257</v>
      </c>
      <c r="S182" s="93" t="s">
        <v>212</v>
      </c>
      <c r="T182" s="93" t="s">
        <v>213</v>
      </c>
      <c r="U182" s="184" t="s">
        <v>262</v>
      </c>
    </row>
    <row r="183" spans="1:23" ht="12.75">
      <c r="A183" s="2" t="s">
        <v>263</v>
      </c>
      <c r="D183" s="90">
        <v>2.6</v>
      </c>
      <c r="E183" s="2" t="s">
        <v>47</v>
      </c>
      <c r="P183" s="27" t="s">
        <v>214</v>
      </c>
      <c r="Q183" s="96">
        <f>8*D185/1000</f>
        <v>0.128</v>
      </c>
      <c r="R183" s="96">
        <f>24*D186/1000</f>
        <v>0.14399999999999999</v>
      </c>
      <c r="S183" s="96">
        <f>D182/2</f>
        <v>0.1</v>
      </c>
      <c r="T183" s="118">
        <v>0.3</v>
      </c>
      <c r="U183" s="101">
        <f>MIN(Q183:T183)</f>
        <v>0.1</v>
      </c>
    </row>
    <row r="184" spans="1:23" ht="12.75">
      <c r="A184" s="2" t="s">
        <v>14</v>
      </c>
      <c r="D184" s="128">
        <v>2400</v>
      </c>
      <c r="E184" s="2" t="s">
        <v>3</v>
      </c>
      <c r="P184" s="27" t="s">
        <v>220</v>
      </c>
      <c r="U184" s="101">
        <f>2*U183</f>
        <v>0.2</v>
      </c>
    </row>
    <row r="185" spans="1:23" ht="12.75">
      <c r="A185" s="2" t="s">
        <v>215</v>
      </c>
      <c r="D185" s="6">
        <v>16</v>
      </c>
      <c r="E185" s="2" t="s">
        <v>28</v>
      </c>
    </row>
    <row r="186" spans="1:23" ht="12.75">
      <c r="A186" s="2" t="s">
        <v>256</v>
      </c>
      <c r="D186" s="6">
        <v>6</v>
      </c>
      <c r="E186" s="2" t="s">
        <v>28</v>
      </c>
      <c r="Q186" s="189" t="s">
        <v>261</v>
      </c>
      <c r="R186" s="189"/>
      <c r="S186" s="189"/>
    </row>
    <row r="187" spans="1:23" ht="15.75" customHeight="1">
      <c r="Q187" s="93" t="s">
        <v>216</v>
      </c>
      <c r="R187" s="93" t="s">
        <v>217</v>
      </c>
      <c r="S187" s="93" t="s">
        <v>213</v>
      </c>
      <c r="U187" s="93" t="s">
        <v>218</v>
      </c>
    </row>
    <row r="188" spans="1:23" ht="12.75">
      <c r="P188" s="27" t="s">
        <v>219</v>
      </c>
      <c r="Q188" s="96">
        <f>D183/6</f>
        <v>0.43333333333333335</v>
      </c>
      <c r="R188" s="96">
        <f>D181</f>
        <v>0.2</v>
      </c>
      <c r="S188" s="118">
        <v>0.5</v>
      </c>
      <c r="T188" s="96"/>
      <c r="U188" s="101">
        <f>MAX(Q188:S188)</f>
        <v>0.5</v>
      </c>
    </row>
    <row r="189" spans="1:23" ht="12.75">
      <c r="P189" s="27" t="s">
        <v>222</v>
      </c>
      <c r="U189" s="101">
        <f>D183-2*U188</f>
        <v>1.6</v>
      </c>
    </row>
    <row r="190" spans="1:23" ht="12.75">
      <c r="P190" s="27" t="s">
        <v>223</v>
      </c>
      <c r="T190" s="100" t="s">
        <v>221</v>
      </c>
      <c r="U190" s="101">
        <f>0.5*U183</f>
        <v>0.05</v>
      </c>
    </row>
    <row r="192" spans="1:23" ht="12.75">
      <c r="P192" s="2" t="s">
        <v>224</v>
      </c>
      <c r="T192" s="100"/>
      <c r="U192" s="96">
        <f>3.5*D181*U183*10000/D184</f>
        <v>0.29166666666666674</v>
      </c>
    </row>
    <row r="193" spans="16:21" ht="12.75">
      <c r="P193" s="2" t="s">
        <v>225</v>
      </c>
      <c r="U193" s="96">
        <f>PI()*(D186/10)^2/4</f>
        <v>0.28274333882308139</v>
      </c>
    </row>
    <row r="194" spans="16:21" ht="12.75">
      <c r="P194" s="2" t="s">
        <v>110</v>
      </c>
      <c r="U194" s="129">
        <f>U192/U193</f>
        <v>1.0315598163363588</v>
      </c>
    </row>
  </sheetData>
  <mergeCells count="4">
    <mergeCell ref="R116:S116"/>
    <mergeCell ref="H41:J41"/>
    <mergeCell ref="Q181:T181"/>
    <mergeCell ref="Q186:S18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แผ่น1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2022-06-03T04:18:20Z</dcterms:created>
  <dcterms:modified xsi:type="dcterms:W3CDTF">2022-06-03T04:18:20Z</dcterms:modified>
</cp:coreProperties>
</file>